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28680" yWindow="-120" windowWidth="29040" windowHeight="16440" tabRatio="924"/>
  </bookViews>
  <sheets>
    <sheet name="PURMO Compact" sheetId="33" r:id="rId1"/>
    <sheet name="PURMO Compact Ventil" sheetId="34" r:id="rId2"/>
    <sheet name="PURMO Plan Compact" sheetId="36" r:id="rId3"/>
    <sheet name="PURMO Plan CV" sheetId="48" r:id="rId4"/>
    <sheet name="Ramo Compact" sheetId="37" r:id="rId5"/>
    <sheet name="PURMO Ramo CVM" sheetId="40" r:id="rId6"/>
  </sheets>
  <externalReferences>
    <externalReference r:id="rId7"/>
  </externalReferences>
  <definedNames>
    <definedName name="_xlnm._FilterDatabase" localSheetId="0" hidden="1">'PURMO Compact'!$A$10:$J$458</definedName>
    <definedName name="_xlnm._FilterDatabase" localSheetId="1" hidden="1">'PURMO Compact Ventil'!$A$10:$J$10</definedName>
    <definedName name="_xlnm._FilterDatabase" localSheetId="2" hidden="1">'PURMO Plan Compact'!$A$10:$J$382</definedName>
    <definedName name="_xlnm._FilterDatabase" localSheetId="3" hidden="1">'PURMO Plan CV'!$A$11:$J$795</definedName>
    <definedName name="_xlnm._FilterDatabase" localSheetId="5" hidden="1">'PURMO Ramo CVM'!$A$10:$J$206</definedName>
    <definedName name="_xlnm._FilterDatabase" localSheetId="4" hidden="1">'Ramo Compact'!$A$11:$J$259</definedName>
    <definedName name="Compact">'PURMO Compact'!$H$9</definedName>
    <definedName name="CONSTCV">#REF!</definedName>
    <definedName name="CONSTPC">#REF!</definedName>
    <definedName name="CONSTPCV">#REF!</definedName>
    <definedName name="CONSTPH">#REF!</definedName>
    <definedName name="CONSTRAM">#REF!</definedName>
    <definedName name="CONSTRC">#REF!</definedName>
    <definedName name="CONSTRCV">#REF!</definedName>
    <definedName name="CONSTV">#REF!</definedName>
    <definedName name="CV">'PURMO Compact Ventil'!$H$9</definedName>
    <definedName name="CVM">#REF!</definedName>
    <definedName name="DISNARVE">#REF!</definedName>
    <definedName name="F_R_Comp">'PURMO Plan Compact'!$H$9</definedName>
    <definedName name="FCV">'PURMO Plan CV'!$H$10</definedName>
    <definedName name="FCVM">#REF!</definedName>
    <definedName name="FHC">#REF!</definedName>
    <definedName name="FHCV">#REF!</definedName>
    <definedName name="H_C">#REF!</definedName>
    <definedName name="Hyg_CV">#REF!</definedName>
    <definedName name="KONSRA">#REF!</definedName>
    <definedName name="KONST">#REF!</definedName>
    <definedName name="KONSTCV">#REF!</definedName>
    <definedName name="KONSTD">#REF!</definedName>
    <definedName name="KONSTH">#REF!</definedName>
    <definedName name="KONSTHN">#REF!</definedName>
    <definedName name="KONSTK">#REF!</definedName>
    <definedName name="KONSTL">#REF!</definedName>
    <definedName name="KONSTM">#REF!</definedName>
    <definedName name="KONSTNA">#REF!</definedName>
    <definedName name="KONSTNAVT">#REF!</definedName>
    <definedName name="KONSTP">#REF!</definedName>
    <definedName name="KONSTPM">#REF!</definedName>
    <definedName name="KONSTTW">#REF!</definedName>
    <definedName name="KONSTV">#REF!</definedName>
    <definedName name="KONSTVE">#REF!</definedName>
    <definedName name="kood">[1]PC!$A$24</definedName>
    <definedName name="R_C">'Ramo Compact'!$H$10</definedName>
    <definedName name="RCVM">'PURMO Ramo CVM'!$H$9</definedName>
  </definedNames>
  <calcPr calcId="152511"/>
</workbook>
</file>

<file path=xl/calcChain.xml><?xml version="1.0" encoding="utf-8"?>
<calcChain xmlns="http://schemas.openxmlformats.org/spreadsheetml/2006/main">
  <c r="H9" i="33" l="1"/>
  <c r="G214" i="33"/>
  <c r="H10" i="48" l="1"/>
  <c r="G773" i="48" s="1"/>
  <c r="G54" i="48" l="1"/>
  <c r="G118" i="48"/>
  <c r="G214" i="48"/>
  <c r="G332" i="48"/>
  <c r="G371" i="48"/>
  <c r="G421" i="48"/>
  <c r="G473" i="48"/>
  <c r="G527" i="48"/>
  <c r="G14" i="48"/>
  <c r="G33" i="48"/>
  <c r="G55" i="48"/>
  <c r="G78" i="48"/>
  <c r="G97" i="48"/>
  <c r="G119" i="48"/>
  <c r="G144" i="48"/>
  <c r="G168" i="48"/>
  <c r="G190" i="48"/>
  <c r="G215" i="48"/>
  <c r="G248" i="48"/>
  <c r="G292" i="48"/>
  <c r="G334" i="48"/>
  <c r="G373" i="48"/>
  <c r="G425" i="48"/>
  <c r="G475" i="48"/>
  <c r="G534" i="48"/>
  <c r="G138" i="48"/>
  <c r="G145" i="48"/>
  <c r="G546" i="48"/>
  <c r="G17" i="48"/>
  <c r="G39" i="48"/>
  <c r="G62" i="48"/>
  <c r="G81" i="48"/>
  <c r="G103" i="48"/>
  <c r="G126" i="48"/>
  <c r="G147" i="48"/>
  <c r="G172" i="48"/>
  <c r="G197" i="48"/>
  <c r="G223" i="48"/>
  <c r="G260" i="48"/>
  <c r="G302" i="48"/>
  <c r="G344" i="48"/>
  <c r="G386" i="48"/>
  <c r="G437" i="48"/>
  <c r="G489" i="48"/>
  <c r="G559" i="48"/>
  <c r="G31" i="48"/>
  <c r="G163" i="48"/>
  <c r="G121" i="48"/>
  <c r="G485" i="48"/>
  <c r="G22" i="48"/>
  <c r="G41" i="48"/>
  <c r="G63" i="48"/>
  <c r="G86" i="48"/>
  <c r="G105" i="48"/>
  <c r="G127" i="48"/>
  <c r="G153" i="48"/>
  <c r="G178" i="48"/>
  <c r="G199" i="48"/>
  <c r="G224" i="48"/>
  <c r="G268" i="48"/>
  <c r="G310" i="48"/>
  <c r="G349" i="48"/>
  <c r="G395" i="48"/>
  <c r="G447" i="48"/>
  <c r="G498" i="48"/>
  <c r="G572" i="48"/>
  <c r="G188" i="48"/>
  <c r="G57" i="48"/>
  <c r="G170" i="48"/>
  <c r="G256" i="48"/>
  <c r="G300" i="48"/>
  <c r="G434" i="48"/>
  <c r="G23" i="48"/>
  <c r="G46" i="48"/>
  <c r="G65" i="48"/>
  <c r="G87" i="48"/>
  <c r="G110" i="48"/>
  <c r="G129" i="48"/>
  <c r="G154" i="48"/>
  <c r="G179" i="48"/>
  <c r="G205" i="48"/>
  <c r="G228" i="48"/>
  <c r="G270" i="48"/>
  <c r="G312" i="48"/>
  <c r="G353" i="48"/>
  <c r="G399" i="48"/>
  <c r="G450" i="48"/>
  <c r="G501" i="48"/>
  <c r="G584" i="48"/>
  <c r="G95" i="48"/>
  <c r="G246" i="48"/>
  <c r="G38" i="48"/>
  <c r="G102" i="48"/>
  <c r="G196" i="48"/>
  <c r="G383" i="48"/>
  <c r="G25" i="48"/>
  <c r="G47" i="48"/>
  <c r="G70" i="48"/>
  <c r="G89" i="48"/>
  <c r="G111" i="48"/>
  <c r="G135" i="48"/>
  <c r="G157" i="48"/>
  <c r="G181" i="48"/>
  <c r="G206" i="48"/>
  <c r="G236" i="48"/>
  <c r="G278" i="48"/>
  <c r="G320" i="48"/>
  <c r="G361" i="48"/>
  <c r="G409" i="48"/>
  <c r="G459" i="48"/>
  <c r="G511" i="48"/>
  <c r="G598" i="48"/>
  <c r="G73" i="48"/>
  <c r="G288" i="48"/>
  <c r="G15" i="48"/>
  <c r="G79" i="48"/>
  <c r="G218" i="48"/>
  <c r="G342" i="48"/>
  <c r="G30" i="48"/>
  <c r="G49" i="48"/>
  <c r="G71" i="48"/>
  <c r="G94" i="48"/>
  <c r="G113" i="48"/>
  <c r="G136" i="48"/>
  <c r="G162" i="48"/>
  <c r="G187" i="48"/>
  <c r="G208" i="48"/>
  <c r="G238" i="48"/>
  <c r="G280" i="48"/>
  <c r="G324" i="48"/>
  <c r="G363" i="48"/>
  <c r="G411" i="48"/>
  <c r="G463" i="48"/>
  <c r="G523" i="48"/>
  <c r="G610" i="48"/>
  <c r="G623" i="48"/>
  <c r="G639" i="48"/>
  <c r="G655" i="48"/>
  <c r="G671" i="48"/>
  <c r="G687" i="48"/>
  <c r="G704" i="48"/>
  <c r="G724" i="48"/>
  <c r="G745" i="48"/>
  <c r="G765" i="48"/>
  <c r="G16" i="48"/>
  <c r="G24" i="48"/>
  <c r="G32" i="48"/>
  <c r="G40" i="48"/>
  <c r="G48" i="48"/>
  <c r="G56" i="48"/>
  <c r="G64" i="48"/>
  <c r="G72" i="48"/>
  <c r="G80" i="48"/>
  <c r="G88" i="48"/>
  <c r="G96" i="48"/>
  <c r="G104" i="48"/>
  <c r="G112" i="48"/>
  <c r="G120" i="48"/>
  <c r="G128" i="48"/>
  <c r="G137" i="48"/>
  <c r="G146" i="48"/>
  <c r="G155" i="48"/>
  <c r="G165" i="48"/>
  <c r="G171" i="48"/>
  <c r="G180" i="48"/>
  <c r="G189" i="48"/>
  <c r="G198" i="48"/>
  <c r="G207" i="48"/>
  <c r="G216" i="48"/>
  <c r="G226" i="48"/>
  <c r="G237" i="48"/>
  <c r="G247" i="48"/>
  <c r="G258" i="48"/>
  <c r="G269" i="48"/>
  <c r="G279" i="48"/>
  <c r="G290" i="48"/>
  <c r="G301" i="48"/>
  <c r="G311" i="48"/>
  <c r="G322" i="48"/>
  <c r="G333" i="48"/>
  <c r="G343" i="48"/>
  <c r="G351" i="48"/>
  <c r="G362" i="48"/>
  <c r="G372" i="48"/>
  <c r="G385" i="48"/>
  <c r="G397" i="48"/>
  <c r="G410" i="48"/>
  <c r="G423" i="48"/>
  <c r="G435" i="48"/>
  <c r="G449" i="48"/>
  <c r="G461" i="48"/>
  <c r="G474" i="48"/>
  <c r="G487" i="48"/>
  <c r="G499" i="48"/>
  <c r="G513" i="48"/>
  <c r="G525" i="48"/>
  <c r="G535" i="48"/>
  <c r="G548" i="48"/>
  <c r="G560" i="48"/>
  <c r="G574" i="48"/>
  <c r="G586" i="48"/>
  <c r="G599" i="48"/>
  <c r="G612" i="48"/>
  <c r="G624" i="48"/>
  <c r="G640" i="48"/>
  <c r="G656" i="48"/>
  <c r="G672" i="48"/>
  <c r="G688" i="48"/>
  <c r="G708" i="48"/>
  <c r="G725" i="48"/>
  <c r="G748" i="48"/>
  <c r="G769" i="48"/>
  <c r="G514" i="48"/>
  <c r="G536" i="48"/>
  <c r="G562" i="48"/>
  <c r="G600" i="48"/>
  <c r="G628" i="48"/>
  <c r="G660" i="48"/>
  <c r="G711" i="48"/>
  <c r="G772" i="48"/>
  <c r="G18" i="48"/>
  <c r="G26" i="48"/>
  <c r="G34" i="48"/>
  <c r="G42" i="48"/>
  <c r="G50" i="48"/>
  <c r="G58" i="48"/>
  <c r="G66" i="48"/>
  <c r="G74" i="48"/>
  <c r="G82" i="48"/>
  <c r="G90" i="48"/>
  <c r="G98" i="48"/>
  <c r="G106" i="48"/>
  <c r="G114" i="48"/>
  <c r="G122" i="48"/>
  <c r="G130" i="48"/>
  <c r="G139" i="48"/>
  <c r="G149" i="48"/>
  <c r="G158" i="48"/>
  <c r="G173" i="48"/>
  <c r="G182" i="48"/>
  <c r="G191" i="48"/>
  <c r="G200" i="48"/>
  <c r="G210" i="48"/>
  <c r="G219" i="48"/>
  <c r="G229" i="48"/>
  <c r="G239" i="48"/>
  <c r="G250" i="48"/>
  <c r="G261" i="48"/>
  <c r="G271" i="48"/>
  <c r="G282" i="48"/>
  <c r="G293" i="48"/>
  <c r="G303" i="48"/>
  <c r="G314" i="48"/>
  <c r="G325" i="48"/>
  <c r="G335" i="48"/>
  <c r="G346" i="48"/>
  <c r="G354" i="48"/>
  <c r="G364" i="48"/>
  <c r="G375" i="48"/>
  <c r="G387" i="48"/>
  <c r="G401" i="48"/>
  <c r="G413" i="48"/>
  <c r="G426" i="48"/>
  <c r="G439" i="48"/>
  <c r="G451" i="48"/>
  <c r="G465" i="48"/>
  <c r="G477" i="48"/>
  <c r="G490" i="48"/>
  <c r="G503" i="48"/>
  <c r="G515" i="48"/>
  <c r="G529" i="48"/>
  <c r="G538" i="48"/>
  <c r="G551" i="48"/>
  <c r="G564" i="48"/>
  <c r="G576" i="48"/>
  <c r="G590" i="48"/>
  <c r="G602" i="48"/>
  <c r="G615" i="48"/>
  <c r="G630" i="48"/>
  <c r="G646" i="48"/>
  <c r="G662" i="48"/>
  <c r="G678" i="48"/>
  <c r="G694" i="48"/>
  <c r="G732" i="48"/>
  <c r="G753" i="48"/>
  <c r="G795" i="48"/>
  <c r="G787" i="48"/>
  <c r="G779" i="48"/>
  <c r="G771" i="48"/>
  <c r="G763" i="48"/>
  <c r="G755" i="48"/>
  <c r="G747" i="48"/>
  <c r="G739" i="48"/>
  <c r="G731" i="48"/>
  <c r="G723" i="48"/>
  <c r="G715" i="48"/>
  <c r="G710" i="48"/>
  <c r="G702" i="48"/>
  <c r="G794" i="48"/>
  <c r="G786" i="48"/>
  <c r="G778" i="48"/>
  <c r="G770" i="48"/>
  <c r="G762" i="48"/>
  <c r="G754" i="48"/>
  <c r="G746" i="48"/>
  <c r="G738" i="48"/>
  <c r="G730" i="48"/>
  <c r="G722" i="48"/>
  <c r="G714" i="48"/>
  <c r="G709" i="48"/>
  <c r="G701" i="48"/>
  <c r="G693" i="48"/>
  <c r="G685" i="48"/>
  <c r="G677" i="48"/>
  <c r="G669" i="48"/>
  <c r="G661" i="48"/>
  <c r="G653" i="48"/>
  <c r="G645" i="48"/>
  <c r="G637" i="48"/>
  <c r="G629" i="48"/>
  <c r="G621" i="48"/>
  <c r="G613" i="48"/>
  <c r="G605" i="48"/>
  <c r="G597" i="48"/>
  <c r="G589" i="48"/>
  <c r="G581" i="48"/>
  <c r="G573" i="48"/>
  <c r="G565" i="48"/>
  <c r="G557" i="48"/>
  <c r="G549" i="48"/>
  <c r="G541" i="48"/>
  <c r="G533" i="48"/>
  <c r="G528" i="48"/>
  <c r="G520" i="48"/>
  <c r="G512" i="48"/>
  <c r="G504" i="48"/>
  <c r="G496" i="48"/>
  <c r="G488" i="48"/>
  <c r="G480" i="48"/>
  <c r="G472" i="48"/>
  <c r="G464" i="48"/>
  <c r="G456" i="48"/>
  <c r="G448" i="48"/>
  <c r="G440" i="48"/>
  <c r="G432" i="48"/>
  <c r="G424" i="48"/>
  <c r="G416" i="48"/>
  <c r="G408" i="48"/>
  <c r="G400" i="48"/>
  <c r="G392" i="48"/>
  <c r="G384" i="48"/>
  <c r="G376" i="48"/>
  <c r="G368" i="48"/>
  <c r="G360" i="48"/>
  <c r="G352" i="48"/>
  <c r="G347" i="48"/>
  <c r="G339" i="48"/>
  <c r="G331" i="48"/>
  <c r="G323" i="48"/>
  <c r="G315" i="48"/>
  <c r="G307" i="48"/>
  <c r="G299" i="48"/>
  <c r="G291" i="48"/>
  <c r="G283" i="48"/>
  <c r="G275" i="48"/>
  <c r="G267" i="48"/>
  <c r="G259" i="48"/>
  <c r="G251" i="48"/>
  <c r="G243" i="48"/>
  <c r="G235" i="48"/>
  <c r="G227" i="48"/>
  <c r="G793" i="48"/>
  <c r="G792" i="48"/>
  <c r="G784" i="48"/>
  <c r="G776" i="48"/>
  <c r="G768" i="48"/>
  <c r="G760" i="48"/>
  <c r="G752" i="48"/>
  <c r="G744" i="48"/>
  <c r="G736" i="48"/>
  <c r="G728" i="48"/>
  <c r="G720" i="48"/>
  <c r="G712" i="48"/>
  <c r="G707" i="48"/>
  <c r="G699" i="48"/>
  <c r="G691" i="48"/>
  <c r="G683" i="48"/>
  <c r="G675" i="48"/>
  <c r="G667" i="48"/>
  <c r="G659" i="48"/>
  <c r="G651" i="48"/>
  <c r="G643" i="48"/>
  <c r="G635" i="48"/>
  <c r="G627" i="48"/>
  <c r="G619" i="48"/>
  <c r="G611" i="48"/>
  <c r="G603" i="48"/>
  <c r="G595" i="48"/>
  <c r="G587" i="48"/>
  <c r="G579" i="48"/>
  <c r="G571" i="48"/>
  <c r="G563" i="48"/>
  <c r="G555" i="48"/>
  <c r="G547" i="48"/>
  <c r="G539" i="48"/>
  <c r="G531" i="48"/>
  <c r="G526" i="48"/>
  <c r="G518" i="48"/>
  <c r="G510" i="48"/>
  <c r="G502" i="48"/>
  <c r="G494" i="48"/>
  <c r="G486" i="48"/>
  <c r="G478" i="48"/>
  <c r="G470" i="48"/>
  <c r="G462" i="48"/>
  <c r="G454" i="48"/>
  <c r="G446" i="48"/>
  <c r="G438" i="48"/>
  <c r="G430" i="48"/>
  <c r="G422" i="48"/>
  <c r="G414" i="48"/>
  <c r="G406" i="48"/>
  <c r="G398" i="48"/>
  <c r="G390" i="48"/>
  <c r="G382" i="48"/>
  <c r="G374" i="48"/>
  <c r="G366" i="48"/>
  <c r="G358" i="48"/>
  <c r="G350" i="48"/>
  <c r="G345" i="48"/>
  <c r="G337" i="48"/>
  <c r="G329" i="48"/>
  <c r="G321" i="48"/>
  <c r="G313" i="48"/>
  <c r="G305" i="48"/>
  <c r="G297" i="48"/>
  <c r="G289" i="48"/>
  <c r="G281" i="48"/>
  <c r="G273" i="48"/>
  <c r="G265" i="48"/>
  <c r="G257" i="48"/>
  <c r="G249" i="48"/>
  <c r="G241" i="48"/>
  <c r="G233" i="48"/>
  <c r="G225" i="48"/>
  <c r="G217" i="48"/>
  <c r="G209" i="48"/>
  <c r="G201" i="48"/>
  <c r="G193" i="48"/>
  <c r="G185" i="48"/>
  <c r="G177" i="48"/>
  <c r="G169" i="48"/>
  <c r="G164" i="48"/>
  <c r="G156" i="48"/>
  <c r="G148" i="48"/>
  <c r="G140" i="48"/>
  <c r="G132" i="48"/>
  <c r="G791" i="48"/>
  <c r="G783" i="48"/>
  <c r="G775" i="48"/>
  <c r="G767" i="48"/>
  <c r="G759" i="48"/>
  <c r="G751" i="48"/>
  <c r="G743" i="48"/>
  <c r="G735" i="48"/>
  <c r="G727" i="48"/>
  <c r="G719" i="48"/>
  <c r="G706" i="48"/>
  <c r="G698" i="48"/>
  <c r="G690" i="48"/>
  <c r="G682" i="48"/>
  <c r="G674" i="48"/>
  <c r="G666" i="48"/>
  <c r="G658" i="48"/>
  <c r="G650" i="48"/>
  <c r="G642" i="48"/>
  <c r="G634" i="48"/>
  <c r="G626" i="48"/>
  <c r="G790" i="48"/>
  <c r="G782" i="48"/>
  <c r="G774" i="48"/>
  <c r="G766" i="48"/>
  <c r="G758" i="48"/>
  <c r="G750" i="48"/>
  <c r="G742" i="48"/>
  <c r="G734" i="48"/>
  <c r="G726" i="48"/>
  <c r="G718" i="48"/>
  <c r="G705" i="48"/>
  <c r="G697" i="48"/>
  <c r="G689" i="48"/>
  <c r="G681" i="48"/>
  <c r="G673" i="48"/>
  <c r="G665" i="48"/>
  <c r="G657" i="48"/>
  <c r="G649" i="48"/>
  <c r="G641" i="48"/>
  <c r="G633" i="48"/>
  <c r="G625" i="48"/>
  <c r="G617" i="48"/>
  <c r="G609" i="48"/>
  <c r="G601" i="48"/>
  <c r="G593" i="48"/>
  <c r="G585" i="48"/>
  <c r="G577" i="48"/>
  <c r="G569" i="48"/>
  <c r="G561" i="48"/>
  <c r="G553" i="48"/>
  <c r="G545" i="48"/>
  <c r="G537" i="48"/>
  <c r="G524" i="48"/>
  <c r="G516" i="48"/>
  <c r="G508" i="48"/>
  <c r="G500" i="48"/>
  <c r="G492" i="48"/>
  <c r="G484" i="48"/>
  <c r="G476" i="48"/>
  <c r="G468" i="48"/>
  <c r="G460" i="48"/>
  <c r="G452" i="48"/>
  <c r="G444" i="48"/>
  <c r="G436" i="48"/>
  <c r="G428" i="48"/>
  <c r="G420" i="48"/>
  <c r="G412" i="48"/>
  <c r="G404" i="48"/>
  <c r="G396" i="48"/>
  <c r="G388" i="48"/>
  <c r="G380" i="48"/>
  <c r="G789" i="48"/>
  <c r="G788" i="48"/>
  <c r="G19" i="48"/>
  <c r="G27" i="48"/>
  <c r="G35" i="48"/>
  <c r="G43" i="48"/>
  <c r="G51" i="48"/>
  <c r="G59" i="48"/>
  <c r="G67" i="48"/>
  <c r="G75" i="48"/>
  <c r="G83" i="48"/>
  <c r="G91" i="48"/>
  <c r="G99" i="48"/>
  <c r="G107" i="48"/>
  <c r="G115" i="48"/>
  <c r="G123" i="48"/>
  <c r="G131" i="48"/>
  <c r="G141" i="48"/>
  <c r="G150" i="48"/>
  <c r="G159" i="48"/>
  <c r="G174" i="48"/>
  <c r="G183" i="48"/>
  <c r="G192" i="48"/>
  <c r="G202" i="48"/>
  <c r="G211" i="48"/>
  <c r="G220" i="48"/>
  <c r="G230" i="48"/>
  <c r="G240" i="48"/>
  <c r="G252" i="48"/>
  <c r="G262" i="48"/>
  <c r="G272" i="48"/>
  <c r="G284" i="48"/>
  <c r="G294" i="48"/>
  <c r="G304" i="48"/>
  <c r="G316" i="48"/>
  <c r="G326" i="48"/>
  <c r="G336" i="48"/>
  <c r="G355" i="48"/>
  <c r="G365" i="48"/>
  <c r="G377" i="48"/>
  <c r="G389" i="48"/>
  <c r="G402" i="48"/>
  <c r="G415" i="48"/>
  <c r="G427" i="48"/>
  <c r="G441" i="48"/>
  <c r="G453" i="48"/>
  <c r="G466" i="48"/>
  <c r="G479" i="48"/>
  <c r="G491" i="48"/>
  <c r="G505" i="48"/>
  <c r="G517" i="48"/>
  <c r="G540" i="48"/>
  <c r="G552" i="48"/>
  <c r="G566" i="48"/>
  <c r="G578" i="48"/>
  <c r="G591" i="48"/>
  <c r="G604" i="48"/>
  <c r="G616" i="48"/>
  <c r="G631" i="48"/>
  <c r="G647" i="48"/>
  <c r="G663" i="48"/>
  <c r="G679" i="48"/>
  <c r="G695" i="48"/>
  <c r="G713" i="48"/>
  <c r="G733" i="48"/>
  <c r="G756" i="48"/>
  <c r="G777" i="48"/>
  <c r="G588" i="48"/>
  <c r="G729" i="48"/>
  <c r="G12" i="48"/>
  <c r="G20" i="48"/>
  <c r="G28" i="48"/>
  <c r="G36" i="48"/>
  <c r="G44" i="48"/>
  <c r="G52" i="48"/>
  <c r="G60" i="48"/>
  <c r="G68" i="48"/>
  <c r="G76" i="48"/>
  <c r="G84" i="48"/>
  <c r="G92" i="48"/>
  <c r="G100" i="48"/>
  <c r="G108" i="48"/>
  <c r="G116" i="48"/>
  <c r="G124" i="48"/>
  <c r="G133" i="48"/>
  <c r="G142" i="48"/>
  <c r="G151" i="48"/>
  <c r="G160" i="48"/>
  <c r="G166" i="48"/>
  <c r="G175" i="48"/>
  <c r="G184" i="48"/>
  <c r="G194" i="48"/>
  <c r="G203" i="48"/>
  <c r="G212" i="48"/>
  <c r="G221" i="48"/>
  <c r="G231" i="48"/>
  <c r="G242" i="48"/>
  <c r="G253" i="48"/>
  <c r="G263" i="48"/>
  <c r="G274" i="48"/>
  <c r="G285" i="48"/>
  <c r="G295" i="48"/>
  <c r="G306" i="48"/>
  <c r="G317" i="48"/>
  <c r="G327" i="48"/>
  <c r="G338" i="48"/>
  <c r="G356" i="48"/>
  <c r="G367" i="48"/>
  <c r="G378" i="48"/>
  <c r="G391" i="48"/>
  <c r="G403" i="48"/>
  <c r="G417" i="48"/>
  <c r="G429" i="48"/>
  <c r="G442" i="48"/>
  <c r="G455" i="48"/>
  <c r="G467" i="48"/>
  <c r="G481" i="48"/>
  <c r="G493" i="48"/>
  <c r="G506" i="48"/>
  <c r="G519" i="48"/>
  <c r="G542" i="48"/>
  <c r="G554" i="48"/>
  <c r="G567" i="48"/>
  <c r="G580" i="48"/>
  <c r="G592" i="48"/>
  <c r="G606" i="48"/>
  <c r="G618" i="48"/>
  <c r="G632" i="48"/>
  <c r="G648" i="48"/>
  <c r="G664" i="48"/>
  <c r="G680" i="48"/>
  <c r="G696" i="48"/>
  <c r="G716" i="48"/>
  <c r="G737" i="48"/>
  <c r="G757" i="48"/>
  <c r="G780" i="48"/>
  <c r="G550" i="48"/>
  <c r="G575" i="48"/>
  <c r="G614" i="48"/>
  <c r="G644" i="48"/>
  <c r="G676" i="48"/>
  <c r="G692" i="48"/>
  <c r="G749" i="48"/>
  <c r="G13" i="48"/>
  <c r="G21" i="48"/>
  <c r="G29" i="48"/>
  <c r="G37" i="48"/>
  <c r="G45" i="48"/>
  <c r="G53" i="48"/>
  <c r="G61" i="48"/>
  <c r="G69" i="48"/>
  <c r="G77" i="48"/>
  <c r="G85" i="48"/>
  <c r="G93" i="48"/>
  <c r="G101" i="48"/>
  <c r="G109" i="48"/>
  <c r="G117" i="48"/>
  <c r="G125" i="48"/>
  <c r="G134" i="48"/>
  <c r="G143" i="48"/>
  <c r="G152" i="48"/>
  <c r="G161" i="48"/>
  <c r="G167" i="48"/>
  <c r="G176" i="48"/>
  <c r="G186" i="48"/>
  <c r="G195" i="48"/>
  <c r="G204" i="48"/>
  <c r="G213" i="48"/>
  <c r="G222" i="48"/>
  <c r="G232" i="48"/>
  <c r="G244" i="48"/>
  <c r="G254" i="48"/>
  <c r="G264" i="48"/>
  <c r="G276" i="48"/>
  <c r="G286" i="48"/>
  <c r="G296" i="48"/>
  <c r="G308" i="48"/>
  <c r="G318" i="48"/>
  <c r="G328" i="48"/>
  <c r="G340" i="48"/>
  <c r="G357" i="48"/>
  <c r="G369" i="48"/>
  <c r="G379" i="48"/>
  <c r="G393" i="48"/>
  <c r="G405" i="48"/>
  <c r="G418" i="48"/>
  <c r="G431" i="48"/>
  <c r="G443" i="48"/>
  <c r="G457" i="48"/>
  <c r="G469" i="48"/>
  <c r="G482" i="48"/>
  <c r="G495" i="48"/>
  <c r="G507" i="48"/>
  <c r="G521" i="48"/>
  <c r="G530" i="48"/>
  <c r="G543" i="48"/>
  <c r="G556" i="48"/>
  <c r="G568" i="48"/>
  <c r="G582" i="48"/>
  <c r="G594" i="48"/>
  <c r="G607" i="48"/>
  <c r="G620" i="48"/>
  <c r="G636" i="48"/>
  <c r="G652" i="48"/>
  <c r="G668" i="48"/>
  <c r="G684" i="48"/>
  <c r="G700" i="48"/>
  <c r="G717" i="48"/>
  <c r="G740" i="48"/>
  <c r="G761" i="48"/>
  <c r="G781" i="48"/>
  <c r="G234" i="48"/>
  <c r="G245" i="48"/>
  <c r="G255" i="48"/>
  <c r="G266" i="48"/>
  <c r="G277" i="48"/>
  <c r="G287" i="48"/>
  <c r="G298" i="48"/>
  <c r="G309" i="48"/>
  <c r="G319" i="48"/>
  <c r="G330" i="48"/>
  <c r="G341" i="48"/>
  <c r="G348" i="48"/>
  <c r="G359" i="48"/>
  <c r="G370" i="48"/>
  <c r="G381" i="48"/>
  <c r="G394" i="48"/>
  <c r="G407" i="48"/>
  <c r="G419" i="48"/>
  <c r="G433" i="48"/>
  <c r="G445" i="48"/>
  <c r="G458" i="48"/>
  <c r="G471" i="48"/>
  <c r="G483" i="48"/>
  <c r="G497" i="48"/>
  <c r="G509" i="48"/>
  <c r="G522" i="48"/>
  <c r="G532" i="48"/>
  <c r="G544" i="48"/>
  <c r="G558" i="48"/>
  <c r="G570" i="48"/>
  <c r="G583" i="48"/>
  <c r="G596" i="48"/>
  <c r="G608" i="48"/>
  <c r="G622" i="48"/>
  <c r="G638" i="48"/>
  <c r="G654" i="48"/>
  <c r="G670" i="48"/>
  <c r="G686" i="48"/>
  <c r="G703" i="48"/>
  <c r="G721" i="48"/>
  <c r="G741" i="48"/>
  <c r="G764" i="48"/>
  <c r="G785" i="48"/>
  <c r="H9" i="40" l="1"/>
  <c r="H10" i="37"/>
  <c r="H9" i="36"/>
  <c r="H9" i="34"/>
  <c r="G604" i="34" s="1"/>
  <c r="G71" i="36" l="1"/>
  <c r="G63" i="36"/>
  <c r="G164" i="36"/>
  <c r="G156" i="36"/>
  <c r="G257" i="36"/>
  <c r="G249" i="36"/>
  <c r="G61" i="36"/>
  <c r="G162" i="36"/>
  <c r="G255" i="36"/>
  <c r="G70" i="36"/>
  <c r="G62" i="36"/>
  <c r="G163" i="36"/>
  <c r="G155" i="36"/>
  <c r="G256" i="36"/>
  <c r="G248" i="36"/>
  <c r="G69" i="36"/>
  <c r="G154" i="36"/>
  <c r="G247" i="36"/>
  <c r="G68" i="36"/>
  <c r="G60" i="36"/>
  <c r="G161" i="36"/>
  <c r="G153" i="36"/>
  <c r="G254" i="36"/>
  <c r="G246" i="36"/>
  <c r="G74" i="36"/>
  <c r="G66" i="36"/>
  <c r="G167" i="36"/>
  <c r="G159" i="36"/>
  <c r="G260" i="36"/>
  <c r="G252" i="36"/>
  <c r="G166" i="36"/>
  <c r="G253" i="36"/>
  <c r="G165" i="36"/>
  <c r="G251" i="36"/>
  <c r="G73" i="36"/>
  <c r="G160" i="36"/>
  <c r="G250" i="36"/>
  <c r="G64" i="36"/>
  <c r="G258" i="36"/>
  <c r="G72" i="36"/>
  <c r="G158" i="36"/>
  <c r="G245" i="36"/>
  <c r="G59" i="36"/>
  <c r="G67" i="36"/>
  <c r="G157" i="36"/>
  <c r="G65" i="36"/>
  <c r="G152" i="36"/>
  <c r="G259" i="36"/>
  <c r="G50" i="40"/>
  <c r="G86" i="40"/>
  <c r="G122" i="40"/>
  <c r="G11" i="40"/>
  <c r="G60" i="40"/>
  <c r="G99" i="40"/>
  <c r="G135" i="40"/>
  <c r="G171" i="40"/>
  <c r="G24" i="40"/>
  <c r="G109" i="40"/>
  <c r="G148" i="40"/>
  <c r="G184" i="40"/>
  <c r="G37" i="40"/>
  <c r="G73" i="40"/>
  <c r="G158" i="40"/>
  <c r="G197" i="40"/>
  <c r="G353" i="36"/>
  <c r="G349" i="36"/>
  <c r="G345" i="36"/>
  <c r="G341" i="36"/>
  <c r="G351" i="36"/>
  <c r="G347" i="36"/>
  <c r="G339" i="36"/>
  <c r="G350" i="36"/>
  <c r="G342" i="36"/>
  <c r="G338" i="36"/>
  <c r="G352" i="36"/>
  <c r="G348" i="36"/>
  <c r="G344" i="36"/>
  <c r="G340" i="36"/>
  <c r="G343" i="36"/>
  <c r="G346" i="36"/>
  <c r="G148" i="36"/>
  <c r="G289" i="36"/>
  <c r="G14" i="40"/>
  <c r="G27" i="40"/>
  <c r="G40" i="40"/>
  <c r="G53" i="40"/>
  <c r="G63" i="40"/>
  <c r="G76" i="40"/>
  <c r="G89" i="40"/>
  <c r="G102" i="40"/>
  <c r="G112" i="40"/>
  <c r="G125" i="40"/>
  <c r="G138" i="40"/>
  <c r="G151" i="40"/>
  <c r="G161" i="40"/>
  <c r="G174" i="40"/>
  <c r="G187" i="40"/>
  <c r="G200" i="40"/>
  <c r="G16" i="40"/>
  <c r="G29" i="40"/>
  <c r="G42" i="40"/>
  <c r="G55" i="40"/>
  <c r="G65" i="40"/>
  <c r="G78" i="40"/>
  <c r="G91" i="40"/>
  <c r="G104" i="40"/>
  <c r="G114" i="40"/>
  <c r="G127" i="40"/>
  <c r="G140" i="40"/>
  <c r="G153" i="40"/>
  <c r="G163" i="40"/>
  <c r="G176" i="40"/>
  <c r="G189" i="40"/>
  <c r="G202" i="40"/>
  <c r="G20" i="40"/>
  <c r="G33" i="40"/>
  <c r="G46" i="40"/>
  <c r="G59" i="40"/>
  <c r="G69" i="40"/>
  <c r="G82" i="40"/>
  <c r="G95" i="40"/>
  <c r="G108" i="40"/>
  <c r="G118" i="40"/>
  <c r="G131" i="40"/>
  <c r="G144" i="40"/>
  <c r="G157" i="40"/>
  <c r="G167" i="40"/>
  <c r="G180" i="40"/>
  <c r="G193" i="40"/>
  <c r="G206" i="40"/>
  <c r="G12" i="40"/>
  <c r="G17" i="40"/>
  <c r="G21" i="40"/>
  <c r="G25" i="40"/>
  <c r="G30" i="40"/>
  <c r="G34" i="40"/>
  <c r="G38" i="40"/>
  <c r="G43" i="40"/>
  <c r="G47" i="40"/>
  <c r="G51" i="40"/>
  <c r="G56" i="40"/>
  <c r="G61" i="40"/>
  <c r="G66" i="40"/>
  <c r="G70" i="40"/>
  <c r="G74" i="40"/>
  <c r="G79" i="40"/>
  <c r="G83" i="40"/>
  <c r="G87" i="40"/>
  <c r="G92" i="40"/>
  <c r="G96" i="40"/>
  <c r="G100" i="40"/>
  <c r="G105" i="40"/>
  <c r="G110" i="40"/>
  <c r="G115" i="40"/>
  <c r="G119" i="40"/>
  <c r="G123" i="40"/>
  <c r="G128" i="40"/>
  <c r="G132" i="40"/>
  <c r="G136" i="40"/>
  <c r="G141" i="40"/>
  <c r="G145" i="40"/>
  <c r="G149" i="40"/>
  <c r="G154" i="40"/>
  <c r="G159" i="40"/>
  <c r="G164" i="40"/>
  <c r="G168" i="40"/>
  <c r="G172" i="40"/>
  <c r="G177" i="40"/>
  <c r="G181" i="40"/>
  <c r="G185" i="40"/>
  <c r="G190" i="40"/>
  <c r="G194" i="40"/>
  <c r="G198" i="40"/>
  <c r="G203" i="40"/>
  <c r="G13" i="40"/>
  <c r="G15" i="40"/>
  <c r="G18" i="40"/>
  <c r="G22" i="40"/>
  <c r="G26" i="40"/>
  <c r="G28" i="40"/>
  <c r="G31" i="40"/>
  <c r="G35" i="40"/>
  <c r="G39" i="40"/>
  <c r="G41" i="40"/>
  <c r="G44" i="40"/>
  <c r="G48" i="40"/>
  <c r="G52" i="40"/>
  <c r="G54" i="40"/>
  <c r="G57" i="40"/>
  <c r="G62" i="40"/>
  <c r="G64" i="40"/>
  <c r="G67" i="40"/>
  <c r="G71" i="40"/>
  <c r="G75" i="40"/>
  <c r="G77" i="40"/>
  <c r="G80" i="40"/>
  <c r="G84" i="40"/>
  <c r="G88" i="40"/>
  <c r="G90" i="40"/>
  <c r="G93" i="40"/>
  <c r="G97" i="40"/>
  <c r="G101" i="40"/>
  <c r="G103" i="40"/>
  <c r="G106" i="40"/>
  <c r="G111" i="40"/>
  <c r="G113" i="40"/>
  <c r="G116" i="40"/>
  <c r="G120" i="40"/>
  <c r="G124" i="40"/>
  <c r="G126" i="40"/>
  <c r="G129" i="40"/>
  <c r="G133" i="40"/>
  <c r="G137" i="40"/>
  <c r="G139" i="40"/>
  <c r="G142" i="40"/>
  <c r="G146" i="40"/>
  <c r="G150" i="40"/>
  <c r="G152" i="40"/>
  <c r="G155" i="40"/>
  <c r="G160" i="40"/>
  <c r="G162" i="40"/>
  <c r="G165" i="40"/>
  <c r="G169" i="40"/>
  <c r="G173" i="40"/>
  <c r="G175" i="40"/>
  <c r="G178" i="40"/>
  <c r="G182" i="40"/>
  <c r="G186" i="40"/>
  <c r="G188" i="40"/>
  <c r="G191" i="40"/>
  <c r="G195" i="40"/>
  <c r="G199" i="40"/>
  <c r="G201" i="40"/>
  <c r="G204" i="40"/>
  <c r="G19" i="40"/>
  <c r="G23" i="40"/>
  <c r="G32" i="40"/>
  <c r="G36" i="40"/>
  <c r="G45" i="40"/>
  <c r="G49" i="40"/>
  <c r="G58" i="40"/>
  <c r="G68" i="40"/>
  <c r="G72" i="40"/>
  <c r="G81" i="40"/>
  <c r="G85" i="40"/>
  <c r="G94" i="40"/>
  <c r="G98" i="40"/>
  <c r="G107" i="40"/>
  <c r="G117" i="40"/>
  <c r="G121" i="40"/>
  <c r="G130" i="40"/>
  <c r="G134" i="40"/>
  <c r="G143" i="40"/>
  <c r="G147" i="40"/>
  <c r="G156" i="40"/>
  <c r="G166" i="40"/>
  <c r="G170" i="40"/>
  <c r="G179" i="40"/>
  <c r="G183" i="40"/>
  <c r="G192" i="40"/>
  <c r="G196" i="40"/>
  <c r="G205" i="40"/>
  <c r="G15" i="37"/>
  <c r="G30" i="37"/>
  <c r="G43" i="37"/>
  <c r="G56" i="37"/>
  <c r="G74" i="37"/>
  <c r="G87" i="37"/>
  <c r="G100" i="37"/>
  <c r="G105" i="37"/>
  <c r="G126" i="37"/>
  <c r="G136" i="37"/>
  <c r="G149" i="37"/>
  <c r="G167" i="37"/>
  <c r="G188" i="37"/>
  <c r="G198" i="37"/>
  <c r="G216" i="37"/>
  <c r="G229" i="37"/>
  <c r="G255" i="37"/>
  <c r="G12" i="37"/>
  <c r="G19" i="37"/>
  <c r="G26" i="37"/>
  <c r="G31" i="37"/>
  <c r="G39" i="37"/>
  <c r="G44" i="37"/>
  <c r="G52" i="37"/>
  <c r="G57" i="37"/>
  <c r="G65" i="37"/>
  <c r="G70" i="37"/>
  <c r="G75" i="37"/>
  <c r="G80" i="37"/>
  <c r="G88" i="37"/>
  <c r="G93" i="37"/>
  <c r="G101" i="37"/>
  <c r="G106" i="37"/>
  <c r="G114" i="37"/>
  <c r="G119" i="37"/>
  <c r="G127" i="37"/>
  <c r="G132" i="37"/>
  <c r="G137" i="37"/>
  <c r="G142" i="37"/>
  <c r="G150" i="37"/>
  <c r="G155" i="37"/>
  <c r="G163" i="37"/>
  <c r="G168" i="37"/>
  <c r="G176" i="37"/>
  <c r="G181" i="37"/>
  <c r="G189" i="37"/>
  <c r="G194" i="37"/>
  <c r="G199" i="37"/>
  <c r="G204" i="37"/>
  <c r="G212" i="37"/>
  <c r="G217" i="37"/>
  <c r="G225" i="37"/>
  <c r="G230" i="37"/>
  <c r="G238" i="37"/>
  <c r="G243" i="37"/>
  <c r="G251" i="37"/>
  <c r="G256" i="37"/>
  <c r="G18" i="37"/>
  <c r="G38" i="37"/>
  <c r="G51" i="37"/>
  <c r="G64" i="37"/>
  <c r="G79" i="37"/>
  <c r="G92" i="37"/>
  <c r="G113" i="37"/>
  <c r="G131" i="37"/>
  <c r="G141" i="37"/>
  <c r="G162" i="37"/>
  <c r="G175" i="37"/>
  <c r="G193" i="37"/>
  <c r="G211" i="37"/>
  <c r="G224" i="37"/>
  <c r="G237" i="37"/>
  <c r="G250" i="37"/>
  <c r="G13" i="37"/>
  <c r="G16" i="37"/>
  <c r="G21" i="37"/>
  <c r="G28" i="37"/>
  <c r="G34" i="37"/>
  <c r="G41" i="37"/>
  <c r="G47" i="37"/>
  <c r="G54" i="37"/>
  <c r="G60" i="37"/>
  <c r="G67" i="37"/>
  <c r="G73" i="37"/>
  <c r="G77" i="37"/>
  <c r="G83" i="37"/>
  <c r="G90" i="37"/>
  <c r="G96" i="37"/>
  <c r="G103" i="37"/>
  <c r="G109" i="37"/>
  <c r="G116" i="37"/>
  <c r="G122" i="37"/>
  <c r="G129" i="37"/>
  <c r="G135" i="37"/>
  <c r="G139" i="37"/>
  <c r="G145" i="37"/>
  <c r="G152" i="37"/>
  <c r="G158" i="37"/>
  <c r="G165" i="37"/>
  <c r="G171" i="37"/>
  <c r="G178" i="37"/>
  <c r="G184" i="37"/>
  <c r="G191" i="37"/>
  <c r="G197" i="37"/>
  <c r="G201" i="37"/>
  <c r="G207" i="37"/>
  <c r="G214" i="37"/>
  <c r="G220" i="37"/>
  <c r="G227" i="37"/>
  <c r="G233" i="37"/>
  <c r="G240" i="37"/>
  <c r="G246" i="37"/>
  <c r="G253" i="37"/>
  <c r="G259" i="37"/>
  <c r="G25" i="37"/>
  <c r="G69" i="37"/>
  <c r="G118" i="37"/>
  <c r="G154" i="37"/>
  <c r="G180" i="37"/>
  <c r="G203" i="37"/>
  <c r="G242" i="37"/>
  <c r="G14" i="37"/>
  <c r="G17" i="37"/>
  <c r="G22" i="37"/>
  <c r="G35" i="37"/>
  <c r="G48" i="37"/>
  <c r="G61" i="37"/>
  <c r="G84" i="37"/>
  <c r="G97" i="37"/>
  <c r="G110" i="37"/>
  <c r="G123" i="37"/>
  <c r="G146" i="37"/>
  <c r="G159" i="37"/>
  <c r="G172" i="37"/>
  <c r="G185" i="37"/>
  <c r="G208" i="37"/>
  <c r="G221" i="37"/>
  <c r="G234" i="37"/>
  <c r="G247" i="37"/>
  <c r="G23" i="37"/>
  <c r="G27" i="37"/>
  <c r="G29" i="37"/>
  <c r="G32" i="37"/>
  <c r="G36" i="37"/>
  <c r="G40" i="37"/>
  <c r="G42" i="37"/>
  <c r="G45" i="37"/>
  <c r="G49" i="37"/>
  <c r="G53" i="37"/>
  <c r="G55" i="37"/>
  <c r="G58" i="37"/>
  <c r="G62" i="37"/>
  <c r="G66" i="37"/>
  <c r="G68" i="37"/>
  <c r="G71" i="37"/>
  <c r="G76" i="37"/>
  <c r="G78" i="37"/>
  <c r="G81" i="37"/>
  <c r="G85" i="37"/>
  <c r="G89" i="37"/>
  <c r="G91" i="37"/>
  <c r="G94" i="37"/>
  <c r="G98" i="37"/>
  <c r="G102" i="37"/>
  <c r="G104" i="37"/>
  <c r="G107" i="37"/>
  <c r="G111" i="37"/>
  <c r="G115" i="37"/>
  <c r="G117" i="37"/>
  <c r="G120" i="37"/>
  <c r="G124" i="37"/>
  <c r="G128" i="37"/>
  <c r="G130" i="37"/>
  <c r="G133" i="37"/>
  <c r="G138" i="37"/>
  <c r="G140" i="37"/>
  <c r="G143" i="37"/>
  <c r="G147" i="37"/>
  <c r="G151" i="37"/>
  <c r="G153" i="37"/>
  <c r="G156" i="37"/>
  <c r="G160" i="37"/>
  <c r="G164" i="37"/>
  <c r="G166" i="37"/>
  <c r="G169" i="37"/>
  <c r="G173" i="37"/>
  <c r="G177" i="37"/>
  <c r="G179" i="37"/>
  <c r="G182" i="37"/>
  <c r="G186" i="37"/>
  <c r="G190" i="37"/>
  <c r="G192" i="37"/>
  <c r="G195" i="37"/>
  <c r="G200" i="37"/>
  <c r="G202" i="37"/>
  <c r="G205" i="37"/>
  <c r="G209" i="37"/>
  <c r="G213" i="37"/>
  <c r="G215" i="37"/>
  <c r="G218" i="37"/>
  <c r="G222" i="37"/>
  <c r="G226" i="37"/>
  <c r="G228" i="37"/>
  <c r="G231" i="37"/>
  <c r="G235" i="37"/>
  <c r="G239" i="37"/>
  <c r="G241" i="37"/>
  <c r="G244" i="37"/>
  <c r="G248" i="37"/>
  <c r="G252" i="37"/>
  <c r="G254" i="37"/>
  <c r="G257" i="37"/>
  <c r="G20" i="37"/>
  <c r="G24" i="37"/>
  <c r="G33" i="37"/>
  <c r="G37" i="37"/>
  <c r="G46" i="37"/>
  <c r="G50" i="37"/>
  <c r="G59" i="37"/>
  <c r="G63" i="37"/>
  <c r="G72" i="37"/>
  <c r="G82" i="37"/>
  <c r="G86" i="37"/>
  <c r="G95" i="37"/>
  <c r="G99" i="37"/>
  <c r="G108" i="37"/>
  <c r="G112" i="37"/>
  <c r="G121" i="37"/>
  <c r="G125" i="37"/>
  <c r="G134" i="37"/>
  <c r="G144" i="37"/>
  <c r="G148" i="37"/>
  <c r="G157" i="37"/>
  <c r="G161" i="37"/>
  <c r="G170" i="37"/>
  <c r="G174" i="37"/>
  <c r="G183" i="37"/>
  <c r="G187" i="37"/>
  <c r="G196" i="37"/>
  <c r="G206" i="37"/>
  <c r="G210" i="37"/>
  <c r="G219" i="37"/>
  <c r="G223" i="37"/>
  <c r="G232" i="37"/>
  <c r="G236" i="37"/>
  <c r="G245" i="37"/>
  <c r="G249" i="37"/>
  <c r="G258" i="37"/>
  <c r="G103" i="36"/>
  <c r="G15" i="36"/>
  <c r="G47" i="36"/>
  <c r="G116" i="36"/>
  <c r="G39" i="36"/>
  <c r="G23" i="36"/>
  <c r="G55" i="36"/>
  <c r="G132" i="36"/>
  <c r="G31" i="36"/>
  <c r="G87" i="36"/>
  <c r="G381" i="36"/>
  <c r="G377" i="36"/>
  <c r="G373" i="36"/>
  <c r="G369" i="36"/>
  <c r="G365" i="36"/>
  <c r="G361" i="36"/>
  <c r="G357" i="36"/>
  <c r="G337" i="36"/>
  <c r="G333" i="36"/>
  <c r="G329" i="36"/>
  <c r="G325" i="36"/>
  <c r="G321" i="36"/>
  <c r="G317" i="36"/>
  <c r="G313" i="36"/>
  <c r="G309" i="36"/>
  <c r="G305" i="36"/>
  <c r="G301" i="36"/>
  <c r="G297" i="36"/>
  <c r="G293" i="36"/>
  <c r="G288" i="36"/>
  <c r="G284" i="36"/>
  <c r="G280" i="36"/>
  <c r="G276" i="36"/>
  <c r="G272" i="36"/>
  <c r="G268" i="36"/>
  <c r="G264" i="36"/>
  <c r="G244" i="36"/>
  <c r="G240" i="36"/>
  <c r="G236" i="36"/>
  <c r="G232" i="36"/>
  <c r="G228" i="36"/>
  <c r="G224" i="36"/>
  <c r="G220" i="36"/>
  <c r="G216" i="36"/>
  <c r="G212" i="36"/>
  <c r="G208" i="36"/>
  <c r="G204" i="36"/>
  <c r="G200" i="36"/>
  <c r="G195" i="36"/>
  <c r="G191" i="36"/>
  <c r="G187" i="36"/>
  <c r="G183" i="36"/>
  <c r="G179" i="36"/>
  <c r="G175" i="36"/>
  <c r="G171" i="36"/>
  <c r="G151" i="36"/>
  <c r="G147" i="36"/>
  <c r="G143" i="36"/>
  <c r="G139" i="36"/>
  <c r="G135" i="36"/>
  <c r="G131" i="36"/>
  <c r="G127" i="36"/>
  <c r="G123" i="36"/>
  <c r="G119" i="36"/>
  <c r="G115" i="36"/>
  <c r="G111" i="36"/>
  <c r="G107" i="36"/>
  <c r="G102" i="36"/>
  <c r="G98" i="36"/>
  <c r="G94" i="36"/>
  <c r="G90" i="36"/>
  <c r="G86" i="36"/>
  <c r="G82" i="36"/>
  <c r="G78" i="36"/>
  <c r="G58" i="36"/>
  <c r="G380" i="36"/>
  <c r="G376" i="36"/>
  <c r="G372" i="36"/>
  <c r="G368" i="36"/>
  <c r="G364" i="36"/>
  <c r="G360" i="36"/>
  <c r="G356" i="36"/>
  <c r="G336" i="36"/>
  <c r="G332" i="36"/>
  <c r="G328" i="36"/>
  <c r="G324" i="36"/>
  <c r="G320" i="36"/>
  <c r="G316" i="36"/>
  <c r="G312" i="36"/>
  <c r="G308" i="36"/>
  <c r="G304" i="36"/>
  <c r="G300" i="36"/>
  <c r="G296" i="36"/>
  <c r="G292" i="36"/>
  <c r="G287" i="36"/>
  <c r="G283" i="36"/>
  <c r="G279" i="36"/>
  <c r="G275" i="36"/>
  <c r="G271" i="36"/>
  <c r="G267" i="36"/>
  <c r="G263" i="36"/>
  <c r="G243" i="36"/>
  <c r="G239" i="36"/>
  <c r="G235" i="36"/>
  <c r="G231" i="36"/>
  <c r="G227" i="36"/>
  <c r="G223" i="36"/>
  <c r="G219" i="36"/>
  <c r="G215" i="36"/>
  <c r="G211" i="36"/>
  <c r="G207" i="36"/>
  <c r="G203" i="36"/>
  <c r="G199" i="36"/>
  <c r="G194" i="36"/>
  <c r="G190" i="36"/>
  <c r="G186" i="36"/>
  <c r="G182" i="36"/>
  <c r="G178" i="36"/>
  <c r="G174" i="36"/>
  <c r="G170" i="36"/>
  <c r="G150" i="36"/>
  <c r="G146" i="36"/>
  <c r="G142" i="36"/>
  <c r="G138" i="36"/>
  <c r="G134" i="36"/>
  <c r="G130" i="36"/>
  <c r="G126" i="36"/>
  <c r="G122" i="36"/>
  <c r="G118" i="36"/>
  <c r="G114" i="36"/>
  <c r="G110" i="36"/>
  <c r="G106" i="36"/>
  <c r="G101" i="36"/>
  <c r="G97" i="36"/>
  <c r="G93" i="36"/>
  <c r="G89" i="36"/>
  <c r="G85" i="36"/>
  <c r="G81" i="36"/>
  <c r="G77" i="36"/>
  <c r="G57" i="36"/>
  <c r="G53" i="36"/>
  <c r="G49" i="36"/>
  <c r="G45" i="36"/>
  <c r="G41" i="36"/>
  <c r="G37" i="36"/>
  <c r="G33" i="36"/>
  <c r="G29" i="36"/>
  <c r="G25" i="36"/>
  <c r="G21" i="36"/>
  <c r="G17" i="36"/>
  <c r="G13" i="36"/>
  <c r="G16" i="36"/>
  <c r="G12" i="36"/>
  <c r="G378" i="36"/>
  <c r="G374" i="36"/>
  <c r="G370" i="36"/>
  <c r="G379" i="36"/>
  <c r="G375" i="36"/>
  <c r="G371" i="36"/>
  <c r="G367" i="36"/>
  <c r="G363" i="36"/>
  <c r="G359" i="36"/>
  <c r="G355" i="36"/>
  <c r="G335" i="36"/>
  <c r="G331" i="36"/>
  <c r="G327" i="36"/>
  <c r="G323" i="36"/>
  <c r="G319" i="36"/>
  <c r="G315" i="36"/>
  <c r="G311" i="36"/>
  <c r="G307" i="36"/>
  <c r="G303" i="36"/>
  <c r="G299" i="36"/>
  <c r="G295" i="36"/>
  <c r="G291" i="36"/>
  <c r="G286" i="36"/>
  <c r="G282" i="36"/>
  <c r="G278" i="36"/>
  <c r="G274" i="36"/>
  <c r="G270" i="36"/>
  <c r="G266" i="36"/>
  <c r="G262" i="36"/>
  <c r="G242" i="36"/>
  <c r="G238" i="36"/>
  <c r="G234" i="36"/>
  <c r="G230" i="36"/>
  <c r="G226" i="36"/>
  <c r="G222" i="36"/>
  <c r="G218" i="36"/>
  <c r="G214" i="36"/>
  <c r="G210" i="36"/>
  <c r="G206" i="36"/>
  <c r="G202" i="36"/>
  <c r="G198" i="36"/>
  <c r="G193" i="36"/>
  <c r="G189" i="36"/>
  <c r="G185" i="36"/>
  <c r="G181" i="36"/>
  <c r="G177" i="36"/>
  <c r="G173" i="36"/>
  <c r="G169" i="36"/>
  <c r="G149" i="36"/>
  <c r="G145" i="36"/>
  <c r="G141" i="36"/>
  <c r="G137" i="36"/>
  <c r="G133" i="36"/>
  <c r="G129" i="36"/>
  <c r="G125" i="36"/>
  <c r="G121" i="36"/>
  <c r="G117" i="36"/>
  <c r="G113" i="36"/>
  <c r="G109" i="36"/>
  <c r="G105" i="36"/>
  <c r="G100" i="36"/>
  <c r="G96" i="36"/>
  <c r="G92" i="36"/>
  <c r="G88" i="36"/>
  <c r="G84" i="36"/>
  <c r="G80" i="36"/>
  <c r="G76" i="36"/>
  <c r="G56" i="36"/>
  <c r="G52" i="36"/>
  <c r="G48" i="36"/>
  <c r="G44" i="36"/>
  <c r="G40" i="36"/>
  <c r="G36" i="36"/>
  <c r="G32" i="36"/>
  <c r="G28" i="36"/>
  <c r="G24" i="36"/>
  <c r="G20" i="36"/>
  <c r="G382" i="36"/>
  <c r="G366" i="36"/>
  <c r="G26" i="36"/>
  <c r="G42" i="36"/>
  <c r="G75" i="36"/>
  <c r="G104" i="36"/>
  <c r="G136" i="36"/>
  <c r="G197" i="36"/>
  <c r="G229" i="36"/>
  <c r="G277" i="36"/>
  <c r="G306" i="36"/>
  <c r="G354" i="36"/>
  <c r="G19" i="36"/>
  <c r="G35" i="36"/>
  <c r="G51" i="36"/>
  <c r="G95" i="36"/>
  <c r="G108" i="36"/>
  <c r="G124" i="36"/>
  <c r="G140" i="36"/>
  <c r="G172" i="36"/>
  <c r="G188" i="36"/>
  <c r="G201" i="36"/>
  <c r="G217" i="36"/>
  <c r="G233" i="36"/>
  <c r="G265" i="36"/>
  <c r="G281" i="36"/>
  <c r="G294" i="36"/>
  <c r="G310" i="36"/>
  <c r="G326" i="36"/>
  <c r="G358" i="36"/>
  <c r="G180" i="36"/>
  <c r="G196" i="36"/>
  <c r="G209" i="36"/>
  <c r="G225" i="36"/>
  <c r="G241" i="36"/>
  <c r="G273" i="36"/>
  <c r="G302" i="36"/>
  <c r="G318" i="36"/>
  <c r="G334" i="36"/>
  <c r="G18" i="36"/>
  <c r="G34" i="36"/>
  <c r="G50" i="36"/>
  <c r="G91" i="36"/>
  <c r="G120" i="36"/>
  <c r="G168" i="36"/>
  <c r="G184" i="36"/>
  <c r="G213" i="36"/>
  <c r="G261" i="36"/>
  <c r="G290" i="36"/>
  <c r="G322" i="36"/>
  <c r="G11" i="36"/>
  <c r="G27" i="36"/>
  <c r="G43" i="36"/>
  <c r="G79" i="36"/>
  <c r="G14" i="36"/>
  <c r="G22" i="36"/>
  <c r="G30" i="36"/>
  <c r="G38" i="36"/>
  <c r="G46" i="36"/>
  <c r="G54" i="36"/>
  <c r="G83" i="36"/>
  <c r="G99" i="36"/>
  <c r="G112" i="36"/>
  <c r="G128" i="36"/>
  <c r="G144" i="36"/>
  <c r="G176" i="36"/>
  <c r="G192" i="36"/>
  <c r="G205" i="36"/>
  <c r="G221" i="36"/>
  <c r="G237" i="36"/>
  <c r="G269" i="36"/>
  <c r="G285" i="36"/>
  <c r="G298" i="36"/>
  <c r="G314" i="36"/>
  <c r="G330" i="36"/>
  <c r="G362" i="36"/>
  <c r="G21" i="34"/>
  <c r="G45" i="34"/>
  <c r="G65" i="34"/>
  <c r="G85" i="34"/>
  <c r="G109" i="34"/>
  <c r="G129" i="34"/>
  <c r="G149" i="34"/>
  <c r="G173" i="34"/>
  <c r="G199" i="34"/>
  <c r="G226" i="34"/>
  <c r="G258" i="34"/>
  <c r="G289" i="34"/>
  <c r="G333" i="34"/>
  <c r="G397" i="34"/>
  <c r="G450" i="34"/>
  <c r="G524" i="34"/>
  <c r="G29" i="34"/>
  <c r="G49" i="34"/>
  <c r="G69" i="34"/>
  <c r="G93" i="34"/>
  <c r="G113" i="34"/>
  <c r="G133" i="34"/>
  <c r="G157" i="34"/>
  <c r="G178" i="34"/>
  <c r="G205" i="34"/>
  <c r="G237" i="34"/>
  <c r="G263" i="34"/>
  <c r="G297" i="34"/>
  <c r="G354" i="34"/>
  <c r="G408" i="34"/>
  <c r="G461" i="34"/>
  <c r="G556" i="34"/>
  <c r="G13" i="34"/>
  <c r="G33" i="34"/>
  <c r="G53" i="34"/>
  <c r="G77" i="34"/>
  <c r="G97" i="34"/>
  <c r="G117" i="34"/>
  <c r="G141" i="34"/>
  <c r="G161" i="34"/>
  <c r="G183" i="34"/>
  <c r="G215" i="34"/>
  <c r="G242" i="34"/>
  <c r="G269" i="34"/>
  <c r="G313" i="34"/>
  <c r="G365" i="34"/>
  <c r="G418" i="34"/>
  <c r="G492" i="34"/>
  <c r="G572" i="34"/>
  <c r="G17" i="34"/>
  <c r="G37" i="34"/>
  <c r="G61" i="34"/>
  <c r="G81" i="34"/>
  <c r="G101" i="34"/>
  <c r="G125" i="34"/>
  <c r="G145" i="34"/>
  <c r="G165" i="34"/>
  <c r="G194" i="34"/>
  <c r="G221" i="34"/>
  <c r="G247" i="34"/>
  <c r="G281" i="34"/>
  <c r="G322" i="34"/>
  <c r="G376" i="34"/>
  <c r="G440" i="34"/>
  <c r="G508" i="34"/>
  <c r="G588" i="34"/>
  <c r="G25" i="34"/>
  <c r="G41" i="34"/>
  <c r="G57" i="34"/>
  <c r="G73" i="34"/>
  <c r="G89" i="34"/>
  <c r="G105" i="34"/>
  <c r="G121" i="34"/>
  <c r="G137" i="34"/>
  <c r="G153" i="34"/>
  <c r="G169" i="34"/>
  <c r="G189" i="34"/>
  <c r="G210" i="34"/>
  <c r="G231" i="34"/>
  <c r="G253" i="34"/>
  <c r="G274" i="34"/>
  <c r="G305" i="34"/>
  <c r="G344" i="34"/>
  <c r="G386" i="34"/>
  <c r="G429" i="34"/>
  <c r="G476" i="34"/>
  <c r="G540" i="34"/>
  <c r="G656" i="34"/>
  <c r="G655" i="34"/>
  <c r="G651" i="34"/>
  <c r="G647" i="34"/>
  <c r="G643" i="34"/>
  <c r="G639" i="34"/>
  <c r="G635" i="34"/>
  <c r="G631" i="34"/>
  <c r="G627" i="34"/>
  <c r="G623" i="34"/>
  <c r="G619" i="34"/>
  <c r="G615" i="34"/>
  <c r="G611" i="34"/>
  <c r="G607" i="34"/>
  <c r="G603" i="34"/>
  <c r="G599" i="34"/>
  <c r="G595" i="34"/>
  <c r="G591" i="34"/>
  <c r="G587" i="34"/>
  <c r="G583" i="34"/>
  <c r="G579" i="34"/>
  <c r="G575" i="34"/>
  <c r="G571" i="34"/>
  <c r="G567" i="34"/>
  <c r="G563" i="34"/>
  <c r="G559" i="34"/>
  <c r="G555" i="34"/>
  <c r="G551" i="34"/>
  <c r="G547" i="34"/>
  <c r="G543" i="34"/>
  <c r="G539" i="34"/>
  <c r="G535" i="34"/>
  <c r="G531" i="34"/>
  <c r="G527" i="34"/>
  <c r="G523" i="34"/>
  <c r="G519" i="34"/>
  <c r="G515" i="34"/>
  <c r="G511" i="34"/>
  <c r="G507" i="34"/>
  <c r="G503" i="34"/>
  <c r="G499" i="34"/>
  <c r="G495" i="34"/>
  <c r="G491" i="34"/>
  <c r="G487" i="34"/>
  <c r="G483" i="34"/>
  <c r="G479" i="34"/>
  <c r="G475" i="34"/>
  <c r="G471" i="34"/>
  <c r="G467" i="34"/>
  <c r="G463" i="34"/>
  <c r="G459" i="34"/>
  <c r="G455" i="34"/>
  <c r="G451" i="34"/>
  <c r="G447" i="34"/>
  <c r="G443" i="34"/>
  <c r="G439" i="34"/>
  <c r="G435" i="34"/>
  <c r="G431" i="34"/>
  <c r="G427" i="34"/>
  <c r="G423" i="34"/>
  <c r="G419" i="34"/>
  <c r="G415" i="34"/>
  <c r="G411" i="34"/>
  <c r="G407" i="34"/>
  <c r="G403" i="34"/>
  <c r="G399" i="34"/>
  <c r="G395" i="34"/>
  <c r="G391" i="34"/>
  <c r="G387" i="34"/>
  <c r="G383" i="34"/>
  <c r="G379" i="34"/>
  <c r="G375" i="34"/>
  <c r="G371" i="34"/>
  <c r="G367" i="34"/>
  <c r="G363" i="34"/>
  <c r="G359" i="34"/>
  <c r="G355" i="34"/>
  <c r="G351" i="34"/>
  <c r="G347" i="34"/>
  <c r="G343" i="34"/>
  <c r="G339" i="34"/>
  <c r="G335" i="34"/>
  <c r="G331" i="34"/>
  <c r="G327" i="34"/>
  <c r="G323" i="34"/>
  <c r="G319" i="34"/>
  <c r="G654" i="34"/>
  <c r="G650" i="34"/>
  <c r="G646" i="34"/>
  <c r="G642" i="34"/>
  <c r="G638" i="34"/>
  <c r="G634" i="34"/>
  <c r="G630" i="34"/>
  <c r="G626" i="34"/>
  <c r="G622" i="34"/>
  <c r="G618" i="34"/>
  <c r="G653" i="34"/>
  <c r="G649" i="34"/>
  <c r="G645" i="34"/>
  <c r="G641" i="34"/>
  <c r="G637" i="34"/>
  <c r="G633" i="34"/>
  <c r="G629" i="34"/>
  <c r="G625" i="34"/>
  <c r="G621" i="34"/>
  <c r="G617" i="34"/>
  <c r="G613" i="34"/>
  <c r="G609" i="34"/>
  <c r="G605" i="34"/>
  <c r="G601" i="34"/>
  <c r="G597" i="34"/>
  <c r="G593" i="34"/>
  <c r="G589" i="34"/>
  <c r="G585" i="34"/>
  <c r="G581" i="34"/>
  <c r="G577" i="34"/>
  <c r="G573" i="34"/>
  <c r="G569" i="34"/>
  <c r="G565" i="34"/>
  <c r="G561" i="34"/>
  <c r="G557" i="34"/>
  <c r="G553" i="34"/>
  <c r="G549" i="34"/>
  <c r="G545" i="34"/>
  <c r="G541" i="34"/>
  <c r="G537" i="34"/>
  <c r="G533" i="34"/>
  <c r="G529" i="34"/>
  <c r="G525" i="34"/>
  <c r="G521" i="34"/>
  <c r="G517" i="34"/>
  <c r="G513" i="34"/>
  <c r="G509" i="34"/>
  <c r="G505" i="34"/>
  <c r="G501" i="34"/>
  <c r="G497" i="34"/>
  <c r="G493" i="34"/>
  <c r="G489" i="34"/>
  <c r="G485" i="34"/>
  <c r="G481" i="34"/>
  <c r="G477" i="34"/>
  <c r="G473" i="34"/>
  <c r="G469" i="34"/>
  <c r="G465" i="34"/>
  <c r="G652" i="34"/>
  <c r="G636" i="34"/>
  <c r="G620" i="34"/>
  <c r="G610" i="34"/>
  <c r="G602" i="34"/>
  <c r="G594" i="34"/>
  <c r="G586" i="34"/>
  <c r="G578" i="34"/>
  <c r="G570" i="34"/>
  <c r="G562" i="34"/>
  <c r="G554" i="34"/>
  <c r="G546" i="34"/>
  <c r="G538" i="34"/>
  <c r="G530" i="34"/>
  <c r="G522" i="34"/>
  <c r="G514" i="34"/>
  <c r="G506" i="34"/>
  <c r="G498" i="34"/>
  <c r="G490" i="34"/>
  <c r="G482" i="34"/>
  <c r="G474" i="34"/>
  <c r="G466" i="34"/>
  <c r="G460" i="34"/>
  <c r="G454" i="34"/>
  <c r="G449" i="34"/>
  <c r="G444" i="34"/>
  <c r="G438" i="34"/>
  <c r="G433" i="34"/>
  <c r="G428" i="34"/>
  <c r="G422" i="34"/>
  <c r="G417" i="34"/>
  <c r="G412" i="34"/>
  <c r="G406" i="34"/>
  <c r="G401" i="34"/>
  <c r="G396" i="34"/>
  <c r="G390" i="34"/>
  <c r="G385" i="34"/>
  <c r="G380" i="34"/>
  <c r="G374" i="34"/>
  <c r="G369" i="34"/>
  <c r="G364" i="34"/>
  <c r="G358" i="34"/>
  <c r="G353" i="34"/>
  <c r="G348" i="34"/>
  <c r="G342" i="34"/>
  <c r="G337" i="34"/>
  <c r="G332" i="34"/>
  <c r="G326" i="34"/>
  <c r="G321" i="34"/>
  <c r="G316" i="34"/>
  <c r="G312" i="34"/>
  <c r="G308" i="34"/>
  <c r="G304" i="34"/>
  <c r="G300" i="34"/>
  <c r="G296" i="34"/>
  <c r="G292" i="34"/>
  <c r="G288" i="34"/>
  <c r="G284" i="34"/>
  <c r="G280" i="34"/>
  <c r="G276" i="34"/>
  <c r="G272" i="34"/>
  <c r="G268" i="34"/>
  <c r="G264" i="34"/>
  <c r="G260" i="34"/>
  <c r="G256" i="34"/>
  <c r="G252" i="34"/>
  <c r="G248" i="34"/>
  <c r="G244" i="34"/>
  <c r="G240" i="34"/>
  <c r="G236" i="34"/>
  <c r="G232" i="34"/>
  <c r="G228" i="34"/>
  <c r="G224" i="34"/>
  <c r="G220" i="34"/>
  <c r="G216" i="34"/>
  <c r="G212" i="34"/>
  <c r="G208" i="34"/>
  <c r="G204" i="34"/>
  <c r="G200" i="34"/>
  <c r="G196" i="34"/>
  <c r="G192" i="34"/>
  <c r="G188" i="34"/>
  <c r="G184" i="34"/>
  <c r="G180" i="34"/>
  <c r="G176" i="34"/>
  <c r="G648" i="34"/>
  <c r="G632" i="34"/>
  <c r="G616" i="34"/>
  <c r="G608" i="34"/>
  <c r="G600" i="34"/>
  <c r="G592" i="34"/>
  <c r="G584" i="34"/>
  <c r="G576" i="34"/>
  <c r="G568" i="34"/>
  <c r="G560" i="34"/>
  <c r="G552" i="34"/>
  <c r="G544" i="34"/>
  <c r="G536" i="34"/>
  <c r="G528" i="34"/>
  <c r="G520" i="34"/>
  <c r="G512" i="34"/>
  <c r="G504" i="34"/>
  <c r="G496" i="34"/>
  <c r="G488" i="34"/>
  <c r="G480" i="34"/>
  <c r="G472" i="34"/>
  <c r="G464" i="34"/>
  <c r="G458" i="34"/>
  <c r="G453" i="34"/>
  <c r="G448" i="34"/>
  <c r="G442" i="34"/>
  <c r="G437" i="34"/>
  <c r="G432" i="34"/>
  <c r="G426" i="34"/>
  <c r="G421" i="34"/>
  <c r="G416" i="34"/>
  <c r="G410" i="34"/>
  <c r="G405" i="34"/>
  <c r="G400" i="34"/>
  <c r="G394" i="34"/>
  <c r="G389" i="34"/>
  <c r="G384" i="34"/>
  <c r="G378" i="34"/>
  <c r="G373" i="34"/>
  <c r="G368" i="34"/>
  <c r="G362" i="34"/>
  <c r="G357" i="34"/>
  <c r="G352" i="34"/>
  <c r="G346" i="34"/>
  <c r="G341" i="34"/>
  <c r="G336" i="34"/>
  <c r="G330" i="34"/>
  <c r="G325" i="34"/>
  <c r="G320" i="34"/>
  <c r="G315" i="34"/>
  <c r="G311" i="34"/>
  <c r="G307" i="34"/>
  <c r="G303" i="34"/>
  <c r="G299" i="34"/>
  <c r="G295" i="34"/>
  <c r="G291" i="34"/>
  <c r="G287" i="34"/>
  <c r="G283" i="34"/>
  <c r="G279" i="34"/>
  <c r="G18" i="34"/>
  <c r="G26" i="34"/>
  <c r="G34" i="34"/>
  <c r="G42" i="34"/>
  <c r="G50" i="34"/>
  <c r="G58" i="34"/>
  <c r="G66" i="34"/>
  <c r="G74" i="34"/>
  <c r="G90" i="34"/>
  <c r="G98" i="34"/>
  <c r="G110" i="34"/>
  <c r="G122" i="34"/>
  <c r="G130" i="34"/>
  <c r="G134" i="34"/>
  <c r="G138" i="34"/>
  <c r="G142" i="34"/>
  <c r="G146" i="34"/>
  <c r="G150" i="34"/>
  <c r="G154" i="34"/>
  <c r="G158" i="34"/>
  <c r="G162" i="34"/>
  <c r="G166" i="34"/>
  <c r="G170" i="34"/>
  <c r="G174" i="34"/>
  <c r="G179" i="34"/>
  <c r="G185" i="34"/>
  <c r="G190" i="34"/>
  <c r="G195" i="34"/>
  <c r="G201" i="34"/>
  <c r="G206" i="34"/>
  <c r="G211" i="34"/>
  <c r="G217" i="34"/>
  <c r="G222" i="34"/>
  <c r="G227" i="34"/>
  <c r="G233" i="34"/>
  <c r="G238" i="34"/>
  <c r="G243" i="34"/>
  <c r="G249" i="34"/>
  <c r="G254" i="34"/>
  <c r="G259" i="34"/>
  <c r="G265" i="34"/>
  <c r="G270" i="34"/>
  <c r="G275" i="34"/>
  <c r="G282" i="34"/>
  <c r="G290" i="34"/>
  <c r="G298" i="34"/>
  <c r="G306" i="34"/>
  <c r="G314" i="34"/>
  <c r="G324" i="34"/>
  <c r="G334" i="34"/>
  <c r="G345" i="34"/>
  <c r="G356" i="34"/>
  <c r="G366" i="34"/>
  <c r="G377" i="34"/>
  <c r="G388" i="34"/>
  <c r="G398" i="34"/>
  <c r="G409" i="34"/>
  <c r="G420" i="34"/>
  <c r="G430" i="34"/>
  <c r="G441" i="34"/>
  <c r="G452" i="34"/>
  <c r="G462" i="34"/>
  <c r="G478" i="34"/>
  <c r="G494" i="34"/>
  <c r="G510" i="34"/>
  <c r="G526" i="34"/>
  <c r="G542" i="34"/>
  <c r="G558" i="34"/>
  <c r="G574" i="34"/>
  <c r="G590" i="34"/>
  <c r="G606" i="34"/>
  <c r="G628" i="34"/>
  <c r="G11" i="34"/>
  <c r="G15" i="34"/>
  <c r="G19" i="34"/>
  <c r="G23" i="34"/>
  <c r="G27" i="34"/>
  <c r="G31" i="34"/>
  <c r="G35" i="34"/>
  <c r="G39" i="34"/>
  <c r="G43" i="34"/>
  <c r="G47" i="34"/>
  <c r="G51" i="34"/>
  <c r="G55" i="34"/>
  <c r="G59" i="34"/>
  <c r="G63" i="34"/>
  <c r="G67" i="34"/>
  <c r="G71" i="34"/>
  <c r="G75" i="34"/>
  <c r="G79" i="34"/>
  <c r="G83" i="34"/>
  <c r="G87" i="34"/>
  <c r="G91" i="34"/>
  <c r="G95" i="34"/>
  <c r="G99" i="34"/>
  <c r="G103" i="34"/>
  <c r="G107" i="34"/>
  <c r="G111" i="34"/>
  <c r="G115" i="34"/>
  <c r="G119" i="34"/>
  <c r="G123" i="34"/>
  <c r="G127" i="34"/>
  <c r="G131" i="34"/>
  <c r="G135" i="34"/>
  <c r="G139" i="34"/>
  <c r="G143" i="34"/>
  <c r="G147" i="34"/>
  <c r="G151" i="34"/>
  <c r="G155" i="34"/>
  <c r="G159" i="34"/>
  <c r="G163" i="34"/>
  <c r="G167" i="34"/>
  <c r="G171" i="34"/>
  <c r="G175" i="34"/>
  <c r="G181" i="34"/>
  <c r="G186" i="34"/>
  <c r="G191" i="34"/>
  <c r="G197" i="34"/>
  <c r="G202" i="34"/>
  <c r="G207" i="34"/>
  <c r="G213" i="34"/>
  <c r="G218" i="34"/>
  <c r="G223" i="34"/>
  <c r="G229" i="34"/>
  <c r="G234" i="34"/>
  <c r="G239" i="34"/>
  <c r="G245" i="34"/>
  <c r="G250" i="34"/>
  <c r="G255" i="34"/>
  <c r="G261" i="34"/>
  <c r="G266" i="34"/>
  <c r="G271" i="34"/>
  <c r="G277" i="34"/>
  <c r="G285" i="34"/>
  <c r="G293" i="34"/>
  <c r="G301" i="34"/>
  <c r="G309" i="34"/>
  <c r="G317" i="34"/>
  <c r="G328" i="34"/>
  <c r="G338" i="34"/>
  <c r="G349" i="34"/>
  <c r="G360" i="34"/>
  <c r="G370" i="34"/>
  <c r="G381" i="34"/>
  <c r="G392" i="34"/>
  <c r="G402" i="34"/>
  <c r="G413" i="34"/>
  <c r="G424" i="34"/>
  <c r="G434" i="34"/>
  <c r="G445" i="34"/>
  <c r="G456" i="34"/>
  <c r="G468" i="34"/>
  <c r="G484" i="34"/>
  <c r="G500" i="34"/>
  <c r="G516" i="34"/>
  <c r="G532" i="34"/>
  <c r="G548" i="34"/>
  <c r="G564" i="34"/>
  <c r="G580" i="34"/>
  <c r="G596" i="34"/>
  <c r="G612" i="34"/>
  <c r="G640" i="34"/>
  <c r="G624" i="34"/>
  <c r="G14" i="34"/>
  <c r="G22" i="34"/>
  <c r="G30" i="34"/>
  <c r="G38" i="34"/>
  <c r="G46" i="34"/>
  <c r="G54" i="34"/>
  <c r="G62" i="34"/>
  <c r="G70" i="34"/>
  <c r="G78" i="34"/>
  <c r="G82" i="34"/>
  <c r="G86" i="34"/>
  <c r="G94" i="34"/>
  <c r="G102" i="34"/>
  <c r="G106" i="34"/>
  <c r="G114" i="34"/>
  <c r="G118" i="34"/>
  <c r="G126" i="34"/>
  <c r="G12" i="34"/>
  <c r="G16" i="34"/>
  <c r="G20" i="34"/>
  <c r="G24" i="34"/>
  <c r="G28" i="34"/>
  <c r="G32" i="34"/>
  <c r="G36" i="34"/>
  <c r="G40" i="34"/>
  <c r="G44" i="34"/>
  <c r="G48" i="34"/>
  <c r="G52" i="34"/>
  <c r="G56" i="34"/>
  <c r="G60" i="34"/>
  <c r="G64" i="34"/>
  <c r="G68" i="34"/>
  <c r="G72" i="34"/>
  <c r="G76" i="34"/>
  <c r="G80" i="34"/>
  <c r="G84" i="34"/>
  <c r="G88" i="34"/>
  <c r="G92" i="34"/>
  <c r="G96" i="34"/>
  <c r="G100" i="34"/>
  <c r="G104" i="34"/>
  <c r="G108" i="34"/>
  <c r="G112" i="34"/>
  <c r="G116" i="34"/>
  <c r="G120" i="34"/>
  <c r="G124" i="34"/>
  <c r="G128" i="34"/>
  <c r="G132" i="34"/>
  <c r="G136" i="34"/>
  <c r="G140" i="34"/>
  <c r="G144" i="34"/>
  <c r="G148" i="34"/>
  <c r="G152" i="34"/>
  <c r="G156" i="34"/>
  <c r="G160" i="34"/>
  <c r="G164" i="34"/>
  <c r="G168" i="34"/>
  <c r="G172" i="34"/>
  <c r="G177" i="34"/>
  <c r="G182" i="34"/>
  <c r="G187" i="34"/>
  <c r="G193" i="34"/>
  <c r="G198" i="34"/>
  <c r="G203" i="34"/>
  <c r="G209" i="34"/>
  <c r="G214" i="34"/>
  <c r="G219" i="34"/>
  <c r="G225" i="34"/>
  <c r="G230" i="34"/>
  <c r="G235" i="34"/>
  <c r="G241" i="34"/>
  <c r="G246" i="34"/>
  <c r="G251" i="34"/>
  <c r="G257" i="34"/>
  <c r="G262" i="34"/>
  <c r="G267" i="34"/>
  <c r="G273" i="34"/>
  <c r="G278" i="34"/>
  <c r="G286" i="34"/>
  <c r="G294" i="34"/>
  <c r="G302" i="34"/>
  <c r="G310" i="34"/>
  <c r="G318" i="34"/>
  <c r="G329" i="34"/>
  <c r="G340" i="34"/>
  <c r="G350" i="34"/>
  <c r="G361" i="34"/>
  <c r="G372" i="34"/>
  <c r="G382" i="34"/>
  <c r="G393" i="34"/>
  <c r="G404" i="34"/>
  <c r="G414" i="34"/>
  <c r="G425" i="34"/>
  <c r="G436" i="34"/>
  <c r="G446" i="34"/>
  <c r="G457" i="34"/>
  <c r="G470" i="34"/>
  <c r="G486" i="34"/>
  <c r="G502" i="34"/>
  <c r="G518" i="34"/>
  <c r="G534" i="34"/>
  <c r="G550" i="34"/>
  <c r="G566" i="34"/>
  <c r="G582" i="34"/>
  <c r="G598" i="34"/>
  <c r="G614" i="34"/>
  <c r="G644" i="34"/>
  <c r="G77" i="33"/>
  <c r="G49" i="33" l="1"/>
  <c r="G21" i="33"/>
  <c r="G37" i="33"/>
  <c r="G53" i="33"/>
  <c r="G69" i="33"/>
  <c r="G25" i="33"/>
  <c r="G41" i="33"/>
  <c r="G57" i="33"/>
  <c r="G73" i="33"/>
  <c r="G17" i="33"/>
  <c r="G33" i="33"/>
  <c r="G65" i="33"/>
  <c r="G13" i="33"/>
  <c r="G29" i="33"/>
  <c r="G45" i="33"/>
  <c r="G61" i="33"/>
  <c r="G458" i="33"/>
  <c r="G454" i="33"/>
  <c r="G450" i="33"/>
  <c r="G446" i="33"/>
  <c r="G442" i="33"/>
  <c r="G438" i="33"/>
  <c r="G434" i="33"/>
  <c r="G430" i="33"/>
  <c r="G426" i="33"/>
  <c r="G422" i="33"/>
  <c r="G418" i="33"/>
  <c r="G414" i="33"/>
  <c r="G410" i="33"/>
  <c r="G406" i="33"/>
  <c r="G402" i="33"/>
  <c r="G398" i="33"/>
  <c r="G394" i="33"/>
  <c r="G390" i="33"/>
  <c r="G386" i="33"/>
  <c r="G382" i="33"/>
  <c r="G378" i="33"/>
  <c r="G374" i="33"/>
  <c r="G370" i="33"/>
  <c r="G366" i="33"/>
  <c r="G362" i="33"/>
  <c r="G358" i="33"/>
  <c r="G354" i="33"/>
  <c r="G350" i="33"/>
  <c r="G346" i="33"/>
  <c r="G342" i="33"/>
  <c r="G338" i="33"/>
  <c r="G334" i="33"/>
  <c r="G330" i="33"/>
  <c r="G326" i="33"/>
  <c r="G322" i="33"/>
  <c r="G318" i="33"/>
  <c r="G314" i="33"/>
  <c r="G310" i="33"/>
  <c r="G306" i="33"/>
  <c r="G302" i="33"/>
  <c r="G298" i="33"/>
  <c r="G294" i="33"/>
  <c r="G290" i="33"/>
  <c r="G286" i="33"/>
  <c r="G282" i="33"/>
  <c r="G278" i="33"/>
  <c r="G274" i="33"/>
  <c r="G270" i="33"/>
  <c r="G266" i="33"/>
  <c r="G262" i="33"/>
  <c r="G258" i="33"/>
  <c r="G254" i="33"/>
  <c r="G250" i="33"/>
  <c r="G246" i="33"/>
  <c r="G242" i="33"/>
  <c r="G238" i="33"/>
  <c r="G234" i="33"/>
  <c r="G230" i="33"/>
  <c r="G226" i="33"/>
  <c r="G222" i="33"/>
  <c r="G218" i="33"/>
  <c r="G210" i="33"/>
  <c r="G206" i="33"/>
  <c r="G202" i="33"/>
  <c r="G198" i="33"/>
  <c r="G194" i="33"/>
  <c r="G190" i="33"/>
  <c r="G186" i="33"/>
  <c r="G182" i="33"/>
  <c r="G178" i="33"/>
  <c r="G174" i="33"/>
  <c r="G170" i="33"/>
  <c r="G166" i="33"/>
  <c r="G162" i="33"/>
  <c r="G158" i="33"/>
  <c r="G154" i="33"/>
  <c r="G150" i="33"/>
  <c r="G146" i="33"/>
  <c r="G457" i="33"/>
  <c r="G453" i="33"/>
  <c r="G449" i="33"/>
  <c r="G445" i="33"/>
  <c r="G441" i="33"/>
  <c r="G437" i="33"/>
  <c r="G433" i="33"/>
  <c r="G429" i="33"/>
  <c r="G425" i="33"/>
  <c r="G421" i="33"/>
  <c r="G417" i="33"/>
  <c r="G413" i="33"/>
  <c r="G409" i="33"/>
  <c r="G405" i="33"/>
  <c r="G401" i="33"/>
  <c r="G397" i="33"/>
  <c r="G393" i="33"/>
  <c r="G389" i="33"/>
  <c r="G385" i="33"/>
  <c r="G381" i="33"/>
  <c r="G377" i="33"/>
  <c r="G373" i="33"/>
  <c r="G369" i="33"/>
  <c r="G365" i="33"/>
  <c r="G361" i="33"/>
  <c r="G357" i="33"/>
  <c r="G353" i="33"/>
  <c r="G349" i="33"/>
  <c r="G345" i="33"/>
  <c r="G341" i="33"/>
  <c r="G337" i="33"/>
  <c r="G333" i="33"/>
  <c r="G329" i="33"/>
  <c r="G325" i="33"/>
  <c r="G321" i="33"/>
  <c r="G317" i="33"/>
  <c r="G313" i="33"/>
  <c r="G309" i="33"/>
  <c r="G305" i="33"/>
  <c r="G301" i="33"/>
  <c r="G297" i="33"/>
  <c r="G293" i="33"/>
  <c r="G289" i="33"/>
  <c r="G285" i="33"/>
  <c r="G281" i="33"/>
  <c r="G277" i="33"/>
  <c r="G273" i="33"/>
  <c r="G269" i="33"/>
  <c r="G265" i="33"/>
  <c r="G261" i="33"/>
  <c r="G257" i="33"/>
  <c r="G253" i="33"/>
  <c r="G249" i="33"/>
  <c r="G245" i="33"/>
  <c r="G241" i="33"/>
  <c r="G237" i="33"/>
  <c r="G233" i="33"/>
  <c r="G229" i="33"/>
  <c r="G225" i="33"/>
  <c r="G221" i="33"/>
  <c r="G217" i="33"/>
  <c r="G213" i="33"/>
  <c r="G209" i="33"/>
  <c r="G205" i="33"/>
  <c r="G201" i="33"/>
  <c r="G197" i="33"/>
  <c r="G193" i="33"/>
  <c r="G189" i="33"/>
  <c r="G185" i="33"/>
  <c r="G181" i="33"/>
  <c r="G177" i="33"/>
  <c r="G173" i="33"/>
  <c r="G169" i="33"/>
  <c r="G165" i="33"/>
  <c r="G161" i="33"/>
  <c r="G157" i="33"/>
  <c r="G153" i="33"/>
  <c r="G149" i="33"/>
  <c r="G145" i="33"/>
  <c r="G141" i="33"/>
  <c r="G137" i="33"/>
  <c r="G133" i="33"/>
  <c r="G129" i="33"/>
  <c r="G125" i="33"/>
  <c r="G121" i="33"/>
  <c r="G456" i="33"/>
  <c r="G452" i="33"/>
  <c r="G448" i="33"/>
  <c r="G444" i="33"/>
  <c r="G440" i="33"/>
  <c r="G436" i="33"/>
  <c r="G432" i="33"/>
  <c r="G428" i="33"/>
  <c r="G424" i="33"/>
  <c r="G420" i="33"/>
  <c r="G416" i="33"/>
  <c r="G412" i="33"/>
  <c r="G408" i="33"/>
  <c r="G404" i="33"/>
  <c r="G400" i="33"/>
  <c r="G396" i="33"/>
  <c r="G392" i="33"/>
  <c r="G388" i="33"/>
  <c r="G384" i="33"/>
  <c r="G380" i="33"/>
  <c r="G376" i="33"/>
  <c r="G372" i="33"/>
  <c r="G368" i="33"/>
  <c r="G364" i="33"/>
  <c r="G360" i="33"/>
  <c r="G356" i="33"/>
  <c r="G352" i="33"/>
  <c r="G348" i="33"/>
  <c r="G344" i="33"/>
  <c r="G340" i="33"/>
  <c r="G336" i="33"/>
  <c r="G332" i="33"/>
  <c r="G328" i="33"/>
  <c r="G324" i="33"/>
  <c r="G320" i="33"/>
  <c r="G316" i="33"/>
  <c r="G312" i="33"/>
  <c r="G308" i="33"/>
  <c r="G304" i="33"/>
  <c r="G300" i="33"/>
  <c r="G296" i="33"/>
  <c r="G292" i="33"/>
  <c r="G288" i="33"/>
  <c r="G284" i="33"/>
  <c r="G280" i="33"/>
  <c r="G276" i="33"/>
  <c r="G272" i="33"/>
  <c r="G268" i="33"/>
  <c r="G264" i="33"/>
  <c r="G260" i="33"/>
  <c r="G256" i="33"/>
  <c r="G252" i="33"/>
  <c r="G248" i="33"/>
  <c r="G244" i="33"/>
  <c r="G240" i="33"/>
  <c r="G236" i="33"/>
  <c r="G232" i="33"/>
  <c r="G228" i="33"/>
  <c r="G224" i="33"/>
  <c r="G220" i="33"/>
  <c r="G216" i="33"/>
  <c r="G212" i="33"/>
  <c r="G208" i="33"/>
  <c r="G204" i="33"/>
  <c r="G200" i="33"/>
  <c r="G196" i="33"/>
  <c r="G192" i="33"/>
  <c r="G188" i="33"/>
  <c r="G184" i="33"/>
  <c r="G180" i="33"/>
  <c r="G176" i="33"/>
  <c r="G172" i="33"/>
  <c r="G168" i="33"/>
  <c r="G164" i="33"/>
  <c r="G160" i="33"/>
  <c r="G156" i="33"/>
  <c r="G152" i="33"/>
  <c r="G455" i="33"/>
  <c r="G451" i="33"/>
  <c r="G447" i="33"/>
  <c r="G443" i="33"/>
  <c r="G439" i="33"/>
  <c r="G435" i="33"/>
  <c r="G431" i="33"/>
  <c r="G427" i="33"/>
  <c r="G423" i="33"/>
  <c r="G419" i="33"/>
  <c r="G415" i="33"/>
  <c r="G411" i="33"/>
  <c r="G407" i="33"/>
  <c r="G403" i="33"/>
  <c r="G399" i="33"/>
  <c r="G395" i="33"/>
  <c r="G391" i="33"/>
  <c r="G387" i="33"/>
  <c r="G383" i="33"/>
  <c r="G379" i="33"/>
  <c r="G375" i="33"/>
  <c r="G371" i="33"/>
  <c r="G367" i="33"/>
  <c r="G363" i="33"/>
  <c r="G359" i="33"/>
  <c r="G355" i="33"/>
  <c r="G351" i="33"/>
  <c r="G347" i="33"/>
  <c r="G343" i="33"/>
  <c r="G339" i="33"/>
  <c r="G335" i="33"/>
  <c r="G331" i="33"/>
  <c r="G327" i="33"/>
  <c r="G323" i="33"/>
  <c r="G319" i="33"/>
  <c r="G315" i="33"/>
  <c r="G311" i="33"/>
  <c r="G307" i="33"/>
  <c r="G303" i="33"/>
  <c r="G299" i="33"/>
  <c r="G295" i="33"/>
  <c r="G291" i="33"/>
  <c r="G287" i="33"/>
  <c r="G283" i="33"/>
  <c r="G279" i="33"/>
  <c r="G275" i="33"/>
  <c r="G271" i="33"/>
  <c r="G267" i="33"/>
  <c r="G263" i="33"/>
  <c r="G259" i="33"/>
  <c r="G255" i="33"/>
  <c r="G251" i="33"/>
  <c r="G247" i="33"/>
  <c r="G243" i="33"/>
  <c r="G239" i="33"/>
  <c r="G235" i="33"/>
  <c r="G231" i="33"/>
  <c r="G227" i="33"/>
  <c r="G223" i="33"/>
  <c r="G219" i="33"/>
  <c r="G215" i="33"/>
  <c r="G211" i="33"/>
  <c r="G207" i="33"/>
  <c r="G203" i="33"/>
  <c r="G199" i="33"/>
  <c r="G195" i="33"/>
  <c r="G191" i="33"/>
  <c r="G187" i="33"/>
  <c r="G183" i="33"/>
  <c r="G179" i="33"/>
  <c r="G175" i="33"/>
  <c r="G171" i="33"/>
  <c r="G167" i="33"/>
  <c r="G163" i="33"/>
  <c r="G159" i="33"/>
  <c r="G155" i="33"/>
  <c r="G151" i="33"/>
  <c r="G147" i="33"/>
  <c r="G143" i="33"/>
  <c r="G139" i="33"/>
  <c r="G135" i="33"/>
  <c r="G131" i="33"/>
  <c r="G127" i="33"/>
  <c r="G123" i="33"/>
  <c r="G119" i="33"/>
  <c r="G14" i="33"/>
  <c r="G18" i="33"/>
  <c r="G22" i="33"/>
  <c r="G26" i="33"/>
  <c r="G30" i="33"/>
  <c r="G34" i="33"/>
  <c r="G38" i="33"/>
  <c r="G42" i="33"/>
  <c r="G46" i="33"/>
  <c r="G50" i="33"/>
  <c r="G54" i="33"/>
  <c r="G58" i="33"/>
  <c r="G62" i="33"/>
  <c r="G66" i="33"/>
  <c r="G70" i="33"/>
  <c r="G74" i="33"/>
  <c r="G78" i="33"/>
  <c r="G82" i="33"/>
  <c r="G86" i="33"/>
  <c r="G90" i="33"/>
  <c r="G94" i="33"/>
  <c r="G98" i="33"/>
  <c r="G102" i="33"/>
  <c r="G106" i="33"/>
  <c r="G110" i="33"/>
  <c r="G114" i="33"/>
  <c r="G118" i="33"/>
  <c r="G126" i="33"/>
  <c r="G134" i="33"/>
  <c r="G142" i="33"/>
  <c r="G85" i="33"/>
  <c r="G89" i="33"/>
  <c r="G97" i="33"/>
  <c r="G105" i="33"/>
  <c r="G113" i="33"/>
  <c r="G124" i="33"/>
  <c r="G140" i="33"/>
  <c r="G11" i="33"/>
  <c r="G15" i="33"/>
  <c r="G19" i="33"/>
  <c r="G23" i="33"/>
  <c r="G27" i="33"/>
  <c r="G31" i="33"/>
  <c r="G35" i="33"/>
  <c r="G39" i="33"/>
  <c r="G43" i="33"/>
  <c r="G47" i="33"/>
  <c r="G51" i="33"/>
  <c r="G55" i="33"/>
  <c r="G59" i="33"/>
  <c r="G63" i="33"/>
  <c r="G67" i="33"/>
  <c r="G71" i="33"/>
  <c r="G75" i="33"/>
  <c r="G79" i="33"/>
  <c r="G83" i="33"/>
  <c r="G87" i="33"/>
  <c r="G91" i="33"/>
  <c r="G95" i="33"/>
  <c r="G99" i="33"/>
  <c r="G103" i="33"/>
  <c r="G107" i="33"/>
  <c r="G111" i="33"/>
  <c r="G115" i="33"/>
  <c r="G120" i="33"/>
  <c r="G128" i="33"/>
  <c r="G136" i="33"/>
  <c r="G144" i="33"/>
  <c r="G81" i="33"/>
  <c r="G93" i="33"/>
  <c r="G101" i="33"/>
  <c r="G109" i="33"/>
  <c r="G117" i="33"/>
  <c r="G132" i="33"/>
  <c r="G12" i="33"/>
  <c r="G16" i="33"/>
  <c r="G20" i="33"/>
  <c r="G24" i="33"/>
  <c r="G28" i="33"/>
  <c r="G32" i="33"/>
  <c r="G36" i="33"/>
  <c r="G40" i="33"/>
  <c r="G44" i="33"/>
  <c r="G48" i="33"/>
  <c r="G52" i="33"/>
  <c r="G56" i="33"/>
  <c r="G60" i="33"/>
  <c r="G64" i="33"/>
  <c r="G68" i="33"/>
  <c r="G72" i="33"/>
  <c r="G76" i="33"/>
  <c r="G80" i="33"/>
  <c r="G84" i="33"/>
  <c r="G88" i="33"/>
  <c r="G92" i="33"/>
  <c r="G96" i="33"/>
  <c r="G100" i="33"/>
  <c r="G104" i="33"/>
  <c r="G108" i="33"/>
  <c r="G112" i="33"/>
  <c r="G116" i="33"/>
  <c r="G122" i="33"/>
  <c r="G130" i="33"/>
  <c r="G138" i="33"/>
  <c r="G148" i="33"/>
</calcChain>
</file>

<file path=xl/sharedStrings.xml><?xml version="1.0" encoding="utf-8"?>
<sst xmlns="http://schemas.openxmlformats.org/spreadsheetml/2006/main" count="5451" uniqueCount="5352">
  <si>
    <t>1111300040</t>
  </si>
  <si>
    <t>Ramo Compact 11 300   400</t>
  </si>
  <si>
    <t>1111300050</t>
  </si>
  <si>
    <t>Ramo Compact 11 300   500</t>
  </si>
  <si>
    <t>1111300060</t>
  </si>
  <si>
    <t>Ramo Compact 11 300   600</t>
  </si>
  <si>
    <t>1111300080</t>
  </si>
  <si>
    <t>Ramo Compact 11 300   800</t>
  </si>
  <si>
    <t>1111300100</t>
  </si>
  <si>
    <t>Ramo Compact 11 300 1000</t>
  </si>
  <si>
    <t>1111300120</t>
  </si>
  <si>
    <t>Ramo Compact 11 300 1200</t>
  </si>
  <si>
    <t>1111300140</t>
  </si>
  <si>
    <t>Ramo Compact 11 300 1400</t>
  </si>
  <si>
    <t>1111300160</t>
  </si>
  <si>
    <t>Ramo Compact 11 300 1600</t>
  </si>
  <si>
    <t>1111300180</t>
  </si>
  <si>
    <t>Ramo Compact 11 300 1800</t>
  </si>
  <si>
    <t>1111300200</t>
  </si>
  <si>
    <t>Ramo Compact 11 300 2000</t>
  </si>
  <si>
    <t>1111300230</t>
  </si>
  <si>
    <t>Ramo Compact 11 300 2300</t>
  </si>
  <si>
    <t>1111300260</t>
  </si>
  <si>
    <t>Ramo Compact 11 300 2600</t>
  </si>
  <si>
    <t>1111300300</t>
  </si>
  <si>
    <t>Ramo Compact 11 300 3000</t>
  </si>
  <si>
    <t>1111400040</t>
  </si>
  <si>
    <t>Ramo Compact 11 400   400</t>
  </si>
  <si>
    <t>1111400050</t>
  </si>
  <si>
    <t>Ramo Compact 11 400   500</t>
  </si>
  <si>
    <t>1111400060</t>
  </si>
  <si>
    <t>Ramo Compact 11 400   600</t>
  </si>
  <si>
    <t>1111400080</t>
  </si>
  <si>
    <t>Ramo Compact 11 400   800</t>
  </si>
  <si>
    <t>1111400100</t>
  </si>
  <si>
    <t>Ramo Compact 11 400 1000</t>
  </si>
  <si>
    <t>1111400120</t>
  </si>
  <si>
    <t>Ramo Compact 11 400 1200</t>
  </si>
  <si>
    <t>1111400140</t>
  </si>
  <si>
    <t>Ramo Compact 11 400 1400</t>
  </si>
  <si>
    <t>1111400160</t>
  </si>
  <si>
    <t>Ramo Compact 11 400 1600</t>
  </si>
  <si>
    <t>1111400180</t>
  </si>
  <si>
    <t>Ramo Compact 11 400 1800</t>
  </si>
  <si>
    <t>1111400200</t>
  </si>
  <si>
    <t>Ramo Compact 11 400 2000</t>
  </si>
  <si>
    <t>1111400230</t>
  </si>
  <si>
    <t>Ramo Compact 11 400 2300</t>
  </si>
  <si>
    <t>1111400260</t>
  </si>
  <si>
    <t>Ramo Compact 11 400 2600</t>
  </si>
  <si>
    <t>1111400300</t>
  </si>
  <si>
    <t>Ramo Compact 11 400 3000</t>
  </si>
  <si>
    <t>1111500040</t>
  </si>
  <si>
    <t>Ramo Compact 11 500   400</t>
  </si>
  <si>
    <t>1111500050</t>
  </si>
  <si>
    <t>Ramo Compact 11 500   500</t>
  </si>
  <si>
    <t>1111500060</t>
  </si>
  <si>
    <t>Ramo Compact 11 500   600</t>
  </si>
  <si>
    <t>1111500080</t>
  </si>
  <si>
    <t>Ramo Compact 11 500   800</t>
  </si>
  <si>
    <t>1111500100</t>
  </si>
  <si>
    <t>Ramo Compact 11 500 1000</t>
  </si>
  <si>
    <t>1111500120</t>
  </si>
  <si>
    <t>Ramo Compact 11 500 1200</t>
  </si>
  <si>
    <t>1111500140</t>
  </si>
  <si>
    <t>Ramo Compact 11 500 1400</t>
  </si>
  <si>
    <t>1111500160</t>
  </si>
  <si>
    <t>Ramo Compact 11 500 1600</t>
  </si>
  <si>
    <t>1111500180</t>
  </si>
  <si>
    <t>Ramo Compact 11 500 1800</t>
  </si>
  <si>
    <t>1111500200</t>
  </si>
  <si>
    <t>Ramo Compact 11 500 2000</t>
  </si>
  <si>
    <t>1111500230</t>
  </si>
  <si>
    <t>Ramo Compact 11 500 2300</t>
  </si>
  <si>
    <t>1111500260</t>
  </si>
  <si>
    <t>Ramo Compact 11 500 2600</t>
  </si>
  <si>
    <t>1111500300</t>
  </si>
  <si>
    <t>Ramo Compact 11 500 3000</t>
  </si>
  <si>
    <t>1111600040</t>
  </si>
  <si>
    <t>Ramo Compact 11 600   400</t>
  </si>
  <si>
    <t>1111600050</t>
  </si>
  <si>
    <t>Ramo Compact 11 600   500</t>
  </si>
  <si>
    <t>1111600060</t>
  </si>
  <si>
    <t>Ramo Compact 11 600   600</t>
  </si>
  <si>
    <t>1111600080</t>
  </si>
  <si>
    <t>Ramo Compact 11 600   800</t>
  </si>
  <si>
    <t>1111600100</t>
  </si>
  <si>
    <t>Ramo Compact 11 600 1000</t>
  </si>
  <si>
    <t>1111600120</t>
  </si>
  <si>
    <t>Ramo Compact 11 600 1200</t>
  </si>
  <si>
    <t>1111600140</t>
  </si>
  <si>
    <t>Ramo Compact 11 600 1400</t>
  </si>
  <si>
    <t>1111600160</t>
  </si>
  <si>
    <t>Ramo Compact 11 600 1600</t>
  </si>
  <si>
    <t>1111600180</t>
  </si>
  <si>
    <t>Ramo Compact 11 600 1800</t>
  </si>
  <si>
    <t>1111600200</t>
  </si>
  <si>
    <t>Ramo Compact 11 600 2000</t>
  </si>
  <si>
    <t>1111600230</t>
  </si>
  <si>
    <t>Ramo Compact 11 600 2300</t>
  </si>
  <si>
    <t>1111600260</t>
  </si>
  <si>
    <t>Ramo Compact 11 600 2600</t>
  </si>
  <si>
    <t>1111600300</t>
  </si>
  <si>
    <t>Ramo Compact 11 600 3000</t>
  </si>
  <si>
    <t>1111900040</t>
  </si>
  <si>
    <t>Ramo Compact 11 900   400</t>
  </si>
  <si>
    <t>1111900050</t>
  </si>
  <si>
    <t>Ramo Compact 11 900   500</t>
  </si>
  <si>
    <t>1111900060</t>
  </si>
  <si>
    <t>Ramo Compact 11 900   600</t>
  </si>
  <si>
    <t>1111900080</t>
  </si>
  <si>
    <t>Ramo Compact 11 900   800</t>
  </si>
  <si>
    <t>1111900100</t>
  </si>
  <si>
    <t>Ramo Compact 11 900 1000</t>
  </si>
  <si>
    <t>1111900120</t>
  </si>
  <si>
    <t>Ramo Compact 11 900 1200</t>
  </si>
  <si>
    <t>1111900140</t>
  </si>
  <si>
    <t>Ramo Compact 11 900 1400</t>
  </si>
  <si>
    <t>1111900160</t>
  </si>
  <si>
    <t>Ramo Compact 11 900 1600</t>
  </si>
  <si>
    <t>1111900180</t>
  </si>
  <si>
    <t>Ramo Compact 11 900 1800</t>
  </si>
  <si>
    <t>1111900200</t>
  </si>
  <si>
    <t>Ramo Compact 11 900 2000</t>
  </si>
  <si>
    <t>1121300040</t>
  </si>
  <si>
    <t>Ramo Compact 21 300   400</t>
  </si>
  <si>
    <t>1121300050</t>
  </si>
  <si>
    <t>Ramo Compact 21 300   500</t>
  </si>
  <si>
    <t>1121300060</t>
  </si>
  <si>
    <t>Ramo Compact 21 300   600</t>
  </si>
  <si>
    <t>1121300080</t>
  </si>
  <si>
    <t>Ramo Compact 21 300   800</t>
  </si>
  <si>
    <t>1121300100</t>
  </si>
  <si>
    <t>Ramo Compact 21 300 1000</t>
  </si>
  <si>
    <t>1121300120</t>
  </si>
  <si>
    <t>Ramo Compact 21 300 1200</t>
  </si>
  <si>
    <t>1121300140</t>
  </si>
  <si>
    <t>Ramo Compact 21 300 1400</t>
  </si>
  <si>
    <t>1121300160</t>
  </si>
  <si>
    <t>Ramo Compact 21 300 1600</t>
  </si>
  <si>
    <t>1121300180</t>
  </si>
  <si>
    <t>Ramo Compact 21 300 1800</t>
  </si>
  <si>
    <t>1121300200</t>
  </si>
  <si>
    <t>Ramo Compact 21 300 2000</t>
  </si>
  <si>
    <t>1121300230</t>
  </si>
  <si>
    <t>Ramo Compact 21 300 2300</t>
  </si>
  <si>
    <t>1121300260</t>
  </si>
  <si>
    <t>Ramo Compact 21 300 2600</t>
  </si>
  <si>
    <t>1121300300</t>
  </si>
  <si>
    <t>Ramo Compact 21 300 3000</t>
  </si>
  <si>
    <t>1121400040</t>
  </si>
  <si>
    <t>Ramo Compact 21 400   400</t>
  </si>
  <si>
    <t>1121400050</t>
  </si>
  <si>
    <t>Ramo Compact 21 400   500</t>
  </si>
  <si>
    <t>1121400060</t>
  </si>
  <si>
    <t>Ramo Compact 21 400   600</t>
  </si>
  <si>
    <t>1121400080</t>
  </si>
  <si>
    <t>Ramo Compact 21 400   800</t>
  </si>
  <si>
    <t>1121400100</t>
  </si>
  <si>
    <t>Ramo Compact 21 400 1000</t>
  </si>
  <si>
    <t>1121400120</t>
  </si>
  <si>
    <t>Ramo Compact 21 400 1200</t>
  </si>
  <si>
    <t>1121400140</t>
  </si>
  <si>
    <t>Ramo Compact 21 400 1400</t>
  </si>
  <si>
    <t>1121400160</t>
  </si>
  <si>
    <t>Ramo Compact 21 400 1600</t>
  </si>
  <si>
    <t>1121400180</t>
  </si>
  <si>
    <t>Ramo Compact 21 400 1800</t>
  </si>
  <si>
    <t>1121400200</t>
  </si>
  <si>
    <t>Ramo Compact 21 400 2000</t>
  </si>
  <si>
    <t>1121400230</t>
  </si>
  <si>
    <t>Ramo Compact 21 400 2300</t>
  </si>
  <si>
    <t>1121400260</t>
  </si>
  <si>
    <t>Ramo Compact 21 400 2600</t>
  </si>
  <si>
    <t>1121400300</t>
  </si>
  <si>
    <t>Ramo Compact 21 400 3000</t>
  </si>
  <si>
    <t>1121500040</t>
  </si>
  <si>
    <t>Ramo Compact 21 500   400</t>
  </si>
  <si>
    <t>1121500050</t>
  </si>
  <si>
    <t>Ramo Compact 21 500   500</t>
  </si>
  <si>
    <t>1121500060</t>
  </si>
  <si>
    <t>Ramo Compact 21 500   600</t>
  </si>
  <si>
    <t>1121500080</t>
  </si>
  <si>
    <t>Ramo Compact 21 500   800</t>
  </si>
  <si>
    <t>1121500100</t>
  </si>
  <si>
    <t>Ramo Compact 21 500 1000</t>
  </si>
  <si>
    <t>1121500120</t>
  </si>
  <si>
    <t>Ramo Compact 21 500 1200</t>
  </si>
  <si>
    <t>1121500140</t>
  </si>
  <si>
    <t>Ramo Compact 21 500 1400</t>
  </si>
  <si>
    <t>1121500160</t>
  </si>
  <si>
    <t>Ramo Compact 21 500 1600</t>
  </si>
  <si>
    <t>1121500180</t>
  </si>
  <si>
    <t>Ramo Compact 21 500 1800</t>
  </si>
  <si>
    <t>1121500200</t>
  </si>
  <si>
    <t>Ramo Compact 21 500 2000</t>
  </si>
  <si>
    <t>1121500230</t>
  </si>
  <si>
    <t>Ramo Compact 21 500 2300</t>
  </si>
  <si>
    <t>1121500260</t>
  </si>
  <si>
    <t>Ramo Compact 21 500 2600</t>
  </si>
  <si>
    <t>1121500300</t>
  </si>
  <si>
    <t>Ramo Compact 21 500 3000</t>
  </si>
  <si>
    <t>1121600040</t>
  </si>
  <si>
    <t>Ramo Compact 21 600   400</t>
  </si>
  <si>
    <t>1121600050</t>
  </si>
  <si>
    <t>Ramo Compact 21 600   500</t>
  </si>
  <si>
    <t>1121600060</t>
  </si>
  <si>
    <t>Ramo Compact 21 600   600</t>
  </si>
  <si>
    <t>1121600080</t>
  </si>
  <si>
    <t>Ramo Compact 21 600   800</t>
  </si>
  <si>
    <t>1121600100</t>
  </si>
  <si>
    <t>Ramo Compact 21 600 1000</t>
  </si>
  <si>
    <t>1121600120</t>
  </si>
  <si>
    <t>Ramo Compact 21 600 1200</t>
  </si>
  <si>
    <t>1121600140</t>
  </si>
  <si>
    <t>Ramo Compact 21 600 1400</t>
  </si>
  <si>
    <t>1121600160</t>
  </si>
  <si>
    <t>Ramo Compact 21 600 1600</t>
  </si>
  <si>
    <t>1121600180</t>
  </si>
  <si>
    <t>Ramo Compact 21 600 1800</t>
  </si>
  <si>
    <t>1121600200</t>
  </si>
  <si>
    <t>Ramo Compact 21 600 2000</t>
  </si>
  <si>
    <t>1121600230</t>
  </si>
  <si>
    <t>Ramo Compact 21 600 2300</t>
  </si>
  <si>
    <t>1121600260</t>
  </si>
  <si>
    <t>Ramo Compact 21 600 2600</t>
  </si>
  <si>
    <t>1121600300</t>
  </si>
  <si>
    <t>Ramo Compact 21 600 3000</t>
  </si>
  <si>
    <t>1121900040</t>
  </si>
  <si>
    <t>Ramo Compact 21 900   400</t>
  </si>
  <si>
    <t>1121900050</t>
  </si>
  <si>
    <t>Ramo Compact 21 900   500</t>
  </si>
  <si>
    <t>1121900060</t>
  </si>
  <si>
    <t>Ramo Compact 21 900   600</t>
  </si>
  <si>
    <t>1121900080</t>
  </si>
  <si>
    <t>Ramo Compact 21 900   800</t>
  </si>
  <si>
    <t>1121900100</t>
  </si>
  <si>
    <t>Ramo Compact 21 900 1000</t>
  </si>
  <si>
    <t>1121900120</t>
  </si>
  <si>
    <t>Ramo Compact 21 900 1200</t>
  </si>
  <si>
    <t>1121900140</t>
  </si>
  <si>
    <t>Ramo Compact 21 900 1400</t>
  </si>
  <si>
    <t>1121900160</t>
  </si>
  <si>
    <t>Ramo Compact 21 900 1600</t>
  </si>
  <si>
    <t>1121900180</t>
  </si>
  <si>
    <t>Ramo Compact 21 900 1800</t>
  </si>
  <si>
    <t>1121900200</t>
  </si>
  <si>
    <t>Ramo Compact 21 900 2000</t>
  </si>
  <si>
    <t>1122300040</t>
  </si>
  <si>
    <t>Ramo Compact 22 300   400</t>
  </si>
  <si>
    <t>1122300050</t>
  </si>
  <si>
    <t>Ramo Compact 22 300   500</t>
  </si>
  <si>
    <t>1122300060</t>
  </si>
  <si>
    <t>Ramo Compact 22 300   600</t>
  </si>
  <si>
    <t>1122300080</t>
  </si>
  <si>
    <t>Ramo Compact 22 300   800</t>
  </si>
  <si>
    <t>1122300100</t>
  </si>
  <si>
    <t>Ramo Compact 22 300 1000</t>
  </si>
  <si>
    <t>1122300120</t>
  </si>
  <si>
    <t>Ramo Compact 22 300 1200</t>
  </si>
  <si>
    <t>1122300140</t>
  </si>
  <si>
    <t>Ramo Compact 22 300 1400</t>
  </si>
  <si>
    <t>1122300160</t>
  </si>
  <si>
    <t>Ramo Compact 22 300 1600</t>
  </si>
  <si>
    <t>1122300180</t>
  </si>
  <si>
    <t>Ramo Compact 22 300 1800</t>
  </si>
  <si>
    <t>1122300200</t>
  </si>
  <si>
    <t>Ramo Compact 22 300 2000</t>
  </si>
  <si>
    <t>1122300230</t>
  </si>
  <si>
    <t>Ramo Compact 22 300 2300</t>
  </si>
  <si>
    <t>1122300260</t>
  </si>
  <si>
    <t>Ramo Compact 22 300 2600</t>
  </si>
  <si>
    <t>1122300300</t>
  </si>
  <si>
    <t>Ramo Compact 22 300 3000</t>
  </si>
  <si>
    <t>1122400040</t>
  </si>
  <si>
    <t>Ramo Compact 22 400   400</t>
  </si>
  <si>
    <t>1122400050</t>
  </si>
  <si>
    <t>Ramo Compact 22 400   500</t>
  </si>
  <si>
    <t>1122400060</t>
  </si>
  <si>
    <t>Ramo Compact 22 400   600</t>
  </si>
  <si>
    <t>1122400080</t>
  </si>
  <si>
    <t>Ramo Compact 22 400   800</t>
  </si>
  <si>
    <t>1122400100</t>
  </si>
  <si>
    <t>Ramo Compact 22 400 1000</t>
  </si>
  <si>
    <t>1122400120</t>
  </si>
  <si>
    <t>Ramo Compact 22 400 1200</t>
  </si>
  <si>
    <t>1122400140</t>
  </si>
  <si>
    <t>Ramo Compact 22 400 1400</t>
  </si>
  <si>
    <t>1122400160</t>
  </si>
  <si>
    <t>Ramo Compact 22 400 1600</t>
  </si>
  <si>
    <t>1122400180</t>
  </si>
  <si>
    <t>Ramo Compact 22 400 1800</t>
  </si>
  <si>
    <t>1122400200</t>
  </si>
  <si>
    <t>Ramo Compact 22 400 2000</t>
  </si>
  <si>
    <t>1122400230</t>
  </si>
  <si>
    <t>Ramo Compact 22 400 2300</t>
  </si>
  <si>
    <t>1122400260</t>
  </si>
  <si>
    <t>Ramo Compact 22 400 2600</t>
  </si>
  <si>
    <t>1122400300</t>
  </si>
  <si>
    <t>Ramo Compact 22 400 3000</t>
  </si>
  <si>
    <t>1122500040</t>
  </si>
  <si>
    <t>Ramo Compact 22 500   400</t>
  </si>
  <si>
    <t>1122500050</t>
  </si>
  <si>
    <t>Ramo Compact 22 500   500</t>
  </si>
  <si>
    <t>1122500060</t>
  </si>
  <si>
    <t>Ramo Compact 22 500   600</t>
  </si>
  <si>
    <t>1122500080</t>
  </si>
  <si>
    <t>Ramo Compact 22 500   800</t>
  </si>
  <si>
    <t>1122500100</t>
  </si>
  <si>
    <t>Ramo Compact 22 500 1000</t>
  </si>
  <si>
    <t>1122500120</t>
  </si>
  <si>
    <t>Ramo Compact 22 500 1200</t>
  </si>
  <si>
    <t>1122500140</t>
  </si>
  <si>
    <t>Ramo Compact 22 500 1400</t>
  </si>
  <si>
    <t>1122500160</t>
  </si>
  <si>
    <t>Ramo Compact 22 500 1600</t>
  </si>
  <si>
    <t>1122500180</t>
  </si>
  <si>
    <t>Ramo Compact 22 500 1800</t>
  </si>
  <si>
    <t>1122500200</t>
  </si>
  <si>
    <t>Ramo Compact 22 500 2000</t>
  </si>
  <si>
    <t>1122500230</t>
  </si>
  <si>
    <t>Ramo Compact 22 500 2300</t>
  </si>
  <si>
    <t>1122500260</t>
  </si>
  <si>
    <t>Ramo Compact 22 500 2600</t>
  </si>
  <si>
    <t>1122500300</t>
  </si>
  <si>
    <t>Ramo Compact 22 500 3000</t>
  </si>
  <si>
    <t>1122600040</t>
  </si>
  <si>
    <t>Ramo Compact 22 600   400</t>
  </si>
  <si>
    <t>1122600050</t>
  </si>
  <si>
    <t>Ramo Compact 22 600   500</t>
  </si>
  <si>
    <t>1122600060</t>
  </si>
  <si>
    <t>Ramo Compact 22 600   600</t>
  </si>
  <si>
    <t>1122600080</t>
  </si>
  <si>
    <t>Ramo Compact 22 600   800</t>
  </si>
  <si>
    <t>1122600100</t>
  </si>
  <si>
    <t>Ramo Compact 22 600 1000</t>
  </si>
  <si>
    <t>1122600120</t>
  </si>
  <si>
    <t>Ramo Compact 22 600 1200</t>
  </si>
  <si>
    <t>1122600140</t>
  </si>
  <si>
    <t>Ramo Compact 22 600 1400</t>
  </si>
  <si>
    <t>1122600160</t>
  </si>
  <si>
    <t>Ramo Compact 22 600 1600</t>
  </si>
  <si>
    <t>1122600180</t>
  </si>
  <si>
    <t>Ramo Compact 22 600 1800</t>
  </si>
  <si>
    <t>1122600200</t>
  </si>
  <si>
    <t>Ramo Compact 22 600 2000</t>
  </si>
  <si>
    <t>1122600230</t>
  </si>
  <si>
    <t>Ramo Compact 22 600 2300</t>
  </si>
  <si>
    <t>1122600260</t>
  </si>
  <si>
    <t>Ramo Compact 22 600 2600</t>
  </si>
  <si>
    <t>1122600300</t>
  </si>
  <si>
    <t>Ramo Compact 22 600 3000</t>
  </si>
  <si>
    <t>1122900040</t>
  </si>
  <si>
    <t>Ramo Compact 22 900   400</t>
  </si>
  <si>
    <t>1122900050</t>
  </si>
  <si>
    <t>Ramo Compact 22 900   500</t>
  </si>
  <si>
    <t>1122900060</t>
  </si>
  <si>
    <t>Ramo Compact 22 900   600</t>
  </si>
  <si>
    <t>1122900080</t>
  </si>
  <si>
    <t>Ramo Compact 22 900   800</t>
  </si>
  <si>
    <t>1122900100</t>
  </si>
  <si>
    <t>Ramo Compact 22 900 1000</t>
  </si>
  <si>
    <t>1122900120</t>
  </si>
  <si>
    <t>Ramo Compact 22 900 1200</t>
  </si>
  <si>
    <t>1122900140</t>
  </si>
  <si>
    <t>Ramo Compact 22 900 1400</t>
  </si>
  <si>
    <t>1122900160</t>
  </si>
  <si>
    <t>Ramo Compact 22 900 1600</t>
  </si>
  <si>
    <t>1122900180</t>
  </si>
  <si>
    <t>Ramo Compact 22 900 1800</t>
  </si>
  <si>
    <t>1122900200</t>
  </si>
  <si>
    <t>Ramo Compact 22 900 2000</t>
  </si>
  <si>
    <t>1133300040</t>
  </si>
  <si>
    <t>Ramo Compact 33 300   400</t>
  </si>
  <si>
    <t>1133300050</t>
  </si>
  <si>
    <t>Ramo Compact 33 300   500</t>
  </si>
  <si>
    <t>1133300060</t>
  </si>
  <si>
    <t>Ramo Compact 33 300   600</t>
  </si>
  <si>
    <t>1133300080</t>
  </si>
  <si>
    <t>Ramo Compact 33 300   800</t>
  </si>
  <si>
    <t>1133300100</t>
  </si>
  <si>
    <t>Ramo Compact 33 300 1000</t>
  </si>
  <si>
    <t>1133300120</t>
  </si>
  <si>
    <t>Ramo Compact 33 300 1200</t>
  </si>
  <si>
    <t>1133300140</t>
  </si>
  <si>
    <t>Ramo Compact 33 300 1400</t>
  </si>
  <si>
    <t>1133300160</t>
  </si>
  <si>
    <t>Ramo Compact 33 300 1600</t>
  </si>
  <si>
    <t>1133300180</t>
  </si>
  <si>
    <t>Ramo Compact 33 300 1800</t>
  </si>
  <si>
    <t>1133300200</t>
  </si>
  <si>
    <t>Ramo Compact 33 300 2000</t>
  </si>
  <si>
    <t>1133300230</t>
  </si>
  <si>
    <t>Ramo Compact 33 300 2300</t>
  </si>
  <si>
    <t>1133300260</t>
  </si>
  <si>
    <t>Ramo Compact 33 300 2600</t>
  </si>
  <si>
    <t>1133300300</t>
  </si>
  <si>
    <t>Ramo Compact 33 300 3000</t>
  </si>
  <si>
    <t>1133400040</t>
  </si>
  <si>
    <t>Ramo Compact 33 400   400</t>
  </si>
  <si>
    <t>1133400050</t>
  </si>
  <si>
    <t>Ramo Compact 33 400   500</t>
  </si>
  <si>
    <t>1133400060</t>
  </si>
  <si>
    <t>Ramo Compact 33 400   600</t>
  </si>
  <si>
    <t>1133400080</t>
  </si>
  <si>
    <t>Ramo Compact 33 400   800</t>
  </si>
  <si>
    <t>1133400100</t>
  </si>
  <si>
    <t>Ramo Compact 33 400 1000</t>
  </si>
  <si>
    <t>1133400120</t>
  </si>
  <si>
    <t>Ramo Compact 33 400 1200</t>
  </si>
  <si>
    <t>1133400140</t>
  </si>
  <si>
    <t>Ramo Compact 33 400 1400</t>
  </si>
  <si>
    <t>1133400160</t>
  </si>
  <si>
    <t>Ramo Compact 33 400 1600</t>
  </si>
  <si>
    <t>1133400180</t>
  </si>
  <si>
    <t>Ramo Compact 33 400 1800</t>
  </si>
  <si>
    <t>1133400200</t>
  </si>
  <si>
    <t>Ramo Compact 33 400 2000</t>
  </si>
  <si>
    <t>1133400230</t>
  </si>
  <si>
    <t>Ramo Compact 33 400 2300</t>
  </si>
  <si>
    <t>1133400260</t>
  </si>
  <si>
    <t>Ramo Compact 33 400 2600</t>
  </si>
  <si>
    <t>1133400300</t>
  </si>
  <si>
    <t>Ramo Compact 33 400 3000</t>
  </si>
  <si>
    <t>1133500040</t>
  </si>
  <si>
    <t>Ramo Compact 33 500   400</t>
  </si>
  <si>
    <t>1133500050</t>
  </si>
  <si>
    <t>Ramo Compact 33 500   500</t>
  </si>
  <si>
    <t>1133500060</t>
  </si>
  <si>
    <t>Ramo Compact 33 500   600</t>
  </si>
  <si>
    <t>1133500080</t>
  </si>
  <si>
    <t>Ramo Compact 33 500   800</t>
  </si>
  <si>
    <t>1133500100</t>
  </si>
  <si>
    <t>Ramo Compact 33 500 1000</t>
  </si>
  <si>
    <t>1133500120</t>
  </si>
  <si>
    <t>Ramo Compact 33 500 1200</t>
  </si>
  <si>
    <t>1133500140</t>
  </si>
  <si>
    <t>Ramo Compact 33 500 1400</t>
  </si>
  <si>
    <t>1133500160</t>
  </si>
  <si>
    <t>Ramo Compact 33 500 1600</t>
  </si>
  <si>
    <t>1133500180</t>
  </si>
  <si>
    <t>Ramo Compact 33 500 1800</t>
  </si>
  <si>
    <t>1133500200</t>
  </si>
  <si>
    <t>Ramo Compact 33 500 2000</t>
  </si>
  <si>
    <t>1133500230</t>
  </si>
  <si>
    <t>Ramo Compact 33 500 2300</t>
  </si>
  <si>
    <t>1133500260</t>
  </si>
  <si>
    <t>Ramo Compact 33 500 2600</t>
  </si>
  <si>
    <t>1133500300</t>
  </si>
  <si>
    <t>Ramo Compact 33 500 3000</t>
  </si>
  <si>
    <t>1133600040</t>
  </si>
  <si>
    <t>Ramo Compact 33 600   400</t>
  </si>
  <si>
    <t>1133600050</t>
  </si>
  <si>
    <t>Ramo Compact 33 600   500</t>
  </si>
  <si>
    <t>1133600060</t>
  </si>
  <si>
    <t>Ramo Compact 33 600   600</t>
  </si>
  <si>
    <t>1133600080</t>
  </si>
  <si>
    <t>Ramo Compact 33 600   800</t>
  </si>
  <si>
    <t>1133600100</t>
  </si>
  <si>
    <t>Ramo Compact 33 600 1000</t>
  </si>
  <si>
    <t>1133600120</t>
  </si>
  <si>
    <t>Ramo Compact 33 600 1200</t>
  </si>
  <si>
    <t>1133600140</t>
  </si>
  <si>
    <t>Ramo Compact 33 600 1400</t>
  </si>
  <si>
    <t>1133600160</t>
  </si>
  <si>
    <t>Ramo Compact 33 600 1600</t>
  </si>
  <si>
    <t>1133600180</t>
  </si>
  <si>
    <t>Ramo Compact 33 600 1800</t>
  </si>
  <si>
    <t>1133600200</t>
  </si>
  <si>
    <t>Ramo Compact 33 600 2000</t>
  </si>
  <si>
    <t>1133600230</t>
  </si>
  <si>
    <t>Ramo Compact 33 600 2300</t>
  </si>
  <si>
    <t>1133600260</t>
  </si>
  <si>
    <t>Ramo Compact 33 600 2600</t>
  </si>
  <si>
    <t>1133600300</t>
  </si>
  <si>
    <t>Ramo Compact 33 600 3000</t>
  </si>
  <si>
    <t>1133900040</t>
  </si>
  <si>
    <t>Ramo Compact 33 900   400</t>
  </si>
  <si>
    <t>1133900050</t>
  </si>
  <si>
    <t>Ramo Compact 33 900   500</t>
  </si>
  <si>
    <t>1133900060</t>
  </si>
  <si>
    <t>Ramo Compact 33 900   600</t>
  </si>
  <si>
    <t>1133900080</t>
  </si>
  <si>
    <t>Ramo Compact 33 900   800</t>
  </si>
  <si>
    <t>1133900100</t>
  </si>
  <si>
    <t>Ramo Compact 33 900 1000</t>
  </si>
  <si>
    <t>1133900120</t>
  </si>
  <si>
    <t>Ramo Compact 33 900 1200</t>
  </si>
  <si>
    <t>1133900140</t>
  </si>
  <si>
    <t>Ramo Compact 33 900 1400</t>
  </si>
  <si>
    <t>1133900160</t>
  </si>
  <si>
    <t>Ramo Compact 33 900 1600</t>
  </si>
  <si>
    <t>1133900180</t>
  </si>
  <si>
    <t>Ramo Compact 33 900 1800</t>
  </si>
  <si>
    <t>1133900200</t>
  </si>
  <si>
    <t>Ramo Compact 33 900 2000</t>
  </si>
  <si>
    <t>1211300040</t>
  </si>
  <si>
    <t>Flat Compact 11 300   400</t>
  </si>
  <si>
    <t>1211300050</t>
  </si>
  <si>
    <t>Flat Compact 11 300   500</t>
  </si>
  <si>
    <t>1211300060</t>
  </si>
  <si>
    <t>Flat Compact 11 300   600</t>
  </si>
  <si>
    <t>1211300070</t>
  </si>
  <si>
    <t>Flat Compact 11 300   700</t>
  </si>
  <si>
    <t>1211300080</t>
  </si>
  <si>
    <t>Flat Compact 11 300   800</t>
  </si>
  <si>
    <t>1211300090</t>
  </si>
  <si>
    <t>Flat Compact 11 300   900</t>
  </si>
  <si>
    <t>1211300100</t>
  </si>
  <si>
    <t>Flat Compact 11 300 1000</t>
  </si>
  <si>
    <t>1211300110</t>
  </si>
  <si>
    <t>Flat Compact 11 300 1100</t>
  </si>
  <si>
    <t>1211300120</t>
  </si>
  <si>
    <t>Flat Compact 11 300 1200</t>
  </si>
  <si>
    <t>1211300140</t>
  </si>
  <si>
    <t>Flat Compact 11 300 1400</t>
  </si>
  <si>
    <t>1211300160</t>
  </si>
  <si>
    <t>Flat Compact 11 300 1600</t>
  </si>
  <si>
    <t>1211300180</t>
  </si>
  <si>
    <t>Flat Compact 11 300 1800</t>
  </si>
  <si>
    <t>1211300200</t>
  </si>
  <si>
    <t>Flat Compact 11 300 2000</t>
  </si>
  <si>
    <t>1211300230</t>
  </si>
  <si>
    <t>Flat Compact 11 300 2300</t>
  </si>
  <si>
    <t>1211300260</t>
  </si>
  <si>
    <t>Flat Compact 11 300 2600</t>
  </si>
  <si>
    <t>1211300300</t>
  </si>
  <si>
    <t>Flat Compact 11 300 3000</t>
  </si>
  <si>
    <t>1211400040</t>
  </si>
  <si>
    <t>Flat Compact 11 400   400</t>
  </si>
  <si>
    <t>1211400050</t>
  </si>
  <si>
    <t>Flat Compact 11 400   500</t>
  </si>
  <si>
    <t>1211400060</t>
  </si>
  <si>
    <t>Flat Compact 11 400   600</t>
  </si>
  <si>
    <t>1211400070</t>
  </si>
  <si>
    <t>Flat Compact 11 400   700</t>
  </si>
  <si>
    <t>1211400080</t>
  </si>
  <si>
    <t>Flat Compact 11 400   800</t>
  </si>
  <si>
    <t>1211400090</t>
  </si>
  <si>
    <t>Flat Compact 11 400   900</t>
  </si>
  <si>
    <t>1211400100</t>
  </si>
  <si>
    <t>Flat Compact 11 400 1000</t>
  </si>
  <si>
    <t>1211400110</t>
  </si>
  <si>
    <t>Flat Compact 11 400 1100</t>
  </si>
  <si>
    <t>1211400120</t>
  </si>
  <si>
    <t>Flat Compact 11 400 1200</t>
  </si>
  <si>
    <t>1211400140</t>
  </si>
  <si>
    <t>Flat Compact 11 400 1400</t>
  </si>
  <si>
    <t>1211400160</t>
  </si>
  <si>
    <t>Flat Compact 11 400 1600</t>
  </si>
  <si>
    <t>1211400180</t>
  </si>
  <si>
    <t>Flat Compact 11 400 1800</t>
  </si>
  <si>
    <t>1211400200</t>
  </si>
  <si>
    <t>Flat Compact 11 400 2000</t>
  </si>
  <si>
    <t>1211400230</t>
  </si>
  <si>
    <t>Flat Compact 11 400 2300</t>
  </si>
  <si>
    <t>1211400260</t>
  </si>
  <si>
    <t>Flat Compact 11 400 2600</t>
  </si>
  <si>
    <t>1211400300</t>
  </si>
  <si>
    <t>Flat Compact 11 400 3000</t>
  </si>
  <si>
    <t>1211500040</t>
  </si>
  <si>
    <t>Flat Compact 11 500   400</t>
  </si>
  <si>
    <t>1211500050</t>
  </si>
  <si>
    <t>Flat Compact 11 500   500</t>
  </si>
  <si>
    <t>1211500060</t>
  </si>
  <si>
    <t>Flat Compact 11 500   600</t>
  </si>
  <si>
    <t>1211500070</t>
  </si>
  <si>
    <t>Flat Compact 11 500   700</t>
  </si>
  <si>
    <t>1211500080</t>
  </si>
  <si>
    <t>Flat Compact 11 500   800</t>
  </si>
  <si>
    <t>1211500090</t>
  </si>
  <si>
    <t>Flat Compact 11 500   900</t>
  </si>
  <si>
    <t>1211500100</t>
  </si>
  <si>
    <t>Flat Compact 11 500 1000</t>
  </si>
  <si>
    <t>1211500110</t>
  </si>
  <si>
    <t>Flat Compact 11 500 1100</t>
  </si>
  <si>
    <t>1211500120</t>
  </si>
  <si>
    <t>Flat Compact 11 500 1200</t>
  </si>
  <si>
    <t>1211500140</t>
  </si>
  <si>
    <t>Flat Compact 11 500 1400</t>
  </si>
  <si>
    <t>1211500160</t>
  </si>
  <si>
    <t>Flat Compact 11 500 1600</t>
  </si>
  <si>
    <t>1211500180</t>
  </si>
  <si>
    <t>Flat Compact 11 500 1800</t>
  </si>
  <si>
    <t>1211500200</t>
  </si>
  <si>
    <t>Flat Compact 11 500 2000</t>
  </si>
  <si>
    <t>1211500230</t>
  </si>
  <si>
    <t>Flat Compact 11 500 2300</t>
  </si>
  <si>
    <t>1211500260</t>
  </si>
  <si>
    <t>Flat Compact 11 500 2600</t>
  </si>
  <si>
    <t>1211500300</t>
  </si>
  <si>
    <t>Flat Compact 11 500 3000</t>
  </si>
  <si>
    <t>1211600040</t>
  </si>
  <si>
    <t>Flat Compact 11 600   400</t>
  </si>
  <si>
    <t>1211600050</t>
  </si>
  <si>
    <t>Flat Compact 11 600   500</t>
  </si>
  <si>
    <t>1211600060</t>
  </si>
  <si>
    <t>Flat Compact 11 600   600</t>
  </si>
  <si>
    <t>1211600070</t>
  </si>
  <si>
    <t>Flat Compact 11 600   700</t>
  </si>
  <si>
    <t>1211600080</t>
  </si>
  <si>
    <t>Flat Compact 11 600   800</t>
  </si>
  <si>
    <t>1211600090</t>
  </si>
  <si>
    <t>Flat Compact 11 600   900</t>
  </si>
  <si>
    <t>1211600100</t>
  </si>
  <si>
    <t>Flat Compact 11 600 1000</t>
  </si>
  <si>
    <t>1211600110</t>
  </si>
  <si>
    <t>Flat Compact 11 600 1100</t>
  </si>
  <si>
    <t>1211600120</t>
  </si>
  <si>
    <t>Flat Compact 11 600 1200</t>
  </si>
  <si>
    <t>1211600140</t>
  </si>
  <si>
    <t>Flat Compact 11 600 1400</t>
  </si>
  <si>
    <t>1211600160</t>
  </si>
  <si>
    <t>Flat Compact 11 600 1600</t>
  </si>
  <si>
    <t>1211600180</t>
  </si>
  <si>
    <t>Flat Compact 11 600 1800</t>
  </si>
  <si>
    <t>1211600200</t>
  </si>
  <si>
    <t>Flat Compact 11 600 2000</t>
  </si>
  <si>
    <t>1211600230</t>
  </si>
  <si>
    <t>Flat Compact 11 600 2300</t>
  </si>
  <si>
    <t>1211600260</t>
  </si>
  <si>
    <t>Flat Compact 11 600 2600</t>
  </si>
  <si>
    <t>1211600300</t>
  </si>
  <si>
    <t>Flat Compact 11 600 3000</t>
  </si>
  <si>
    <t>1211900040</t>
  </si>
  <si>
    <t>Flat Compact 11 900   400</t>
  </si>
  <si>
    <t>1211900050</t>
  </si>
  <si>
    <t>Flat Compact 11 900   500</t>
  </si>
  <si>
    <t>1211900060</t>
  </si>
  <si>
    <t>Flat Compact 11 900   600</t>
  </si>
  <si>
    <t>1211900070</t>
  </si>
  <si>
    <t>Flat Compact 11 900   700</t>
  </si>
  <si>
    <t>1211900080</t>
  </si>
  <si>
    <t>Flat Compact 11 900   800</t>
  </si>
  <si>
    <t>1211900090</t>
  </si>
  <si>
    <t>Flat Compact 11 900   900</t>
  </si>
  <si>
    <t>1211900100</t>
  </si>
  <si>
    <t>Flat Compact 11 900 1000</t>
  </si>
  <si>
    <t>1211900110</t>
  </si>
  <si>
    <t>Flat Compact 11 900 1100</t>
  </si>
  <si>
    <t>1211900120</t>
  </si>
  <si>
    <t>Flat Compact 11 900 1200</t>
  </si>
  <si>
    <t>1211900140</t>
  </si>
  <si>
    <t>Flat Compact 11 900 1400</t>
  </si>
  <si>
    <t>1211900160</t>
  </si>
  <si>
    <t>Flat Compact 11 900 1600</t>
  </si>
  <si>
    <t>1211900180</t>
  </si>
  <si>
    <t>Flat Compact 11 900 1800</t>
  </si>
  <si>
    <t>1211900200</t>
  </si>
  <si>
    <t>Flat Compact 11 900 2000</t>
  </si>
  <si>
    <t>1221300040</t>
  </si>
  <si>
    <t>Flat Compact 21 300   400</t>
  </si>
  <si>
    <t>1221300050</t>
  </si>
  <si>
    <t>Flat Compact 21 300   500</t>
  </si>
  <si>
    <t>1221300060</t>
  </si>
  <si>
    <t>Flat Compact 21 300   600</t>
  </si>
  <si>
    <t>1221300070</t>
  </si>
  <si>
    <t>Flat Compact 21 300   700</t>
  </si>
  <si>
    <t>1221300080</t>
  </si>
  <si>
    <t>Flat Compact 21 300   800</t>
  </si>
  <si>
    <t>1221300090</t>
  </si>
  <si>
    <t>Flat Compact 21 300   900</t>
  </si>
  <si>
    <t>1221300100</t>
  </si>
  <si>
    <t>Flat Compact 21 300 1000</t>
  </si>
  <si>
    <t>1221300110</t>
  </si>
  <si>
    <t>Flat Compact 21 300 1100</t>
  </si>
  <si>
    <t>1221300120</t>
  </si>
  <si>
    <t>Flat Compact 21 300 1200</t>
  </si>
  <si>
    <t>1221300140</t>
  </si>
  <si>
    <t>Flat Compact 21 300 1400</t>
  </si>
  <si>
    <t>1221300160</t>
  </si>
  <si>
    <t>Flat Compact 21 300 1600</t>
  </si>
  <si>
    <t>1221300180</t>
  </si>
  <si>
    <t>Flat Compact 21 300 1800</t>
  </si>
  <si>
    <t>1221300200</t>
  </si>
  <si>
    <t>Flat Compact 21 300 2000</t>
  </si>
  <si>
    <t>1221300230</t>
  </si>
  <si>
    <t>Flat Compact 21 300 2300</t>
  </si>
  <si>
    <t>1221300260</t>
  </si>
  <si>
    <t>Flat Compact 21 300 2600</t>
  </si>
  <si>
    <t>1221300300</t>
  </si>
  <si>
    <t>Flat Compact 21 300 3000</t>
  </si>
  <si>
    <t>1221400040</t>
  </si>
  <si>
    <t>Flat Compact 21 400   400</t>
  </si>
  <si>
    <t>1221400050</t>
  </si>
  <si>
    <t>Flat Compact 21 400   500</t>
  </si>
  <si>
    <t>1221400060</t>
  </si>
  <si>
    <t>Flat Compact 21 400   600</t>
  </si>
  <si>
    <t>1221400070</t>
  </si>
  <si>
    <t>Flat Compact 21 400   700</t>
  </si>
  <si>
    <t>1221400080</t>
  </si>
  <si>
    <t>Flat Compact 21 400   800</t>
  </si>
  <si>
    <t>1221400090</t>
  </si>
  <si>
    <t>Flat Compact 21 400   900</t>
  </si>
  <si>
    <t>1221400100</t>
  </si>
  <si>
    <t>Flat Compact 21 400 1000</t>
  </si>
  <si>
    <t>1221400110</t>
  </si>
  <si>
    <t>Flat Compact 21 400 1100</t>
  </si>
  <si>
    <t>1221400120</t>
  </si>
  <si>
    <t>Flat Compact 21 400 1200</t>
  </si>
  <si>
    <t>1221400140</t>
  </si>
  <si>
    <t>Flat Compact 21 400 1400</t>
  </si>
  <si>
    <t>1221400160</t>
  </si>
  <si>
    <t>Flat Compact 21 400 1600</t>
  </si>
  <si>
    <t>1221400180</t>
  </si>
  <si>
    <t>Flat Compact 21 400 1800</t>
  </si>
  <si>
    <t>1221400200</t>
  </si>
  <si>
    <t>Flat Compact 21 400 2000</t>
  </si>
  <si>
    <t>1221400230</t>
  </si>
  <si>
    <t>Flat Compact 21 400 2300</t>
  </si>
  <si>
    <t>1221400260</t>
  </si>
  <si>
    <t>Flat Compact 21 400 2600</t>
  </si>
  <si>
    <t>1221400300</t>
  </si>
  <si>
    <t>Flat Compact 21 400 3000</t>
  </si>
  <si>
    <t>1221500040</t>
  </si>
  <si>
    <t>Flat Compact 21 500   400</t>
  </si>
  <si>
    <t>1221500050</t>
  </si>
  <si>
    <t>Flat Compact 21 500   500</t>
  </si>
  <si>
    <t>1221500060</t>
  </si>
  <si>
    <t>Flat Compact 21 500   600</t>
  </si>
  <si>
    <t>1221500070</t>
  </si>
  <si>
    <t>Flat Compact 21 500   700</t>
  </si>
  <si>
    <t>1221500080</t>
  </si>
  <si>
    <t>Flat Compact 21 500   800</t>
  </si>
  <si>
    <t>1221500090</t>
  </si>
  <si>
    <t>Flat Compact 21 500   900</t>
  </si>
  <si>
    <t>1221500100</t>
  </si>
  <si>
    <t>Flat Compact 21 500 1000</t>
  </si>
  <si>
    <t>1221500110</t>
  </si>
  <si>
    <t>Flat Compact 21 500 1100</t>
  </si>
  <si>
    <t>1221500120</t>
  </si>
  <si>
    <t>Flat Compact 21 500 1200</t>
  </si>
  <si>
    <t>1221500140</t>
  </si>
  <si>
    <t>Flat Compact 21 500 1400</t>
  </si>
  <si>
    <t>1221500160</t>
  </si>
  <si>
    <t>Flat Compact 21 500 1600</t>
  </si>
  <si>
    <t>1221500180</t>
  </si>
  <si>
    <t>Flat Compact 21 500 1800</t>
  </si>
  <si>
    <t>1221500200</t>
  </si>
  <si>
    <t>Flat Compact 21 500 2000</t>
  </si>
  <si>
    <t>1221500230</t>
  </si>
  <si>
    <t>Flat Compact 21 500 2300</t>
  </si>
  <si>
    <t>1221500260</t>
  </si>
  <si>
    <t>Flat Compact 21 500 2600</t>
  </si>
  <si>
    <t>1221500300</t>
  </si>
  <si>
    <t>Flat Compact 21 500 3000</t>
  </si>
  <si>
    <t>1221600040</t>
  </si>
  <si>
    <t>Flat Compact 21 600   400</t>
  </si>
  <si>
    <t>1221600050</t>
  </si>
  <si>
    <t>Flat Compact 21 600   500</t>
  </si>
  <si>
    <t>1221600060</t>
  </si>
  <si>
    <t>Flat Compact 21 600   600</t>
  </si>
  <si>
    <t>1221600070</t>
  </si>
  <si>
    <t>Flat Compact 21 600   700</t>
  </si>
  <si>
    <t>1221600080</t>
  </si>
  <si>
    <t>Flat Compact 21 600   800</t>
  </si>
  <si>
    <t>1221600090</t>
  </si>
  <si>
    <t>Flat Compact 21 600   900</t>
  </si>
  <si>
    <t>1221600100</t>
  </si>
  <si>
    <t>Flat Compact 21 600 1000</t>
  </si>
  <si>
    <t>1221600110</t>
  </si>
  <si>
    <t>Flat Compact 21 600 1100</t>
  </si>
  <si>
    <t>1221600120</t>
  </si>
  <si>
    <t>Flat Compact 21 600 1200</t>
  </si>
  <si>
    <t>1221600140</t>
  </si>
  <si>
    <t>Flat Compact 21 600 1400</t>
  </si>
  <si>
    <t>1221600160</t>
  </si>
  <si>
    <t>Flat Compact 21 600 1600</t>
  </si>
  <si>
    <t>1221600180</t>
  </si>
  <si>
    <t>Flat Compact 21 600 1800</t>
  </si>
  <si>
    <t>1221600200</t>
  </si>
  <si>
    <t>Flat Compact 21 600 2000</t>
  </si>
  <si>
    <t>1221600230</t>
  </si>
  <si>
    <t>Flat Compact 21 600 2300</t>
  </si>
  <si>
    <t>1221600260</t>
  </si>
  <si>
    <t>Flat Compact 21 600 2600</t>
  </si>
  <si>
    <t>1221600300</t>
  </si>
  <si>
    <t>Flat Compact 21 600 3000</t>
  </si>
  <si>
    <t>1221900040</t>
  </si>
  <si>
    <t>Flat Compact 21 900   400</t>
  </si>
  <si>
    <t>1221900050</t>
  </si>
  <si>
    <t>Flat Compact 21 900   500</t>
  </si>
  <si>
    <t>1221900060</t>
  </si>
  <si>
    <t>Flat Compact 21 900   600</t>
  </si>
  <si>
    <t>1221900070</t>
  </si>
  <si>
    <t>Flat Compact 21 900   700</t>
  </si>
  <si>
    <t>1221900080</t>
  </si>
  <si>
    <t>Flat Compact 21 900   800</t>
  </si>
  <si>
    <t>1221900090</t>
  </si>
  <si>
    <t>Flat Compact 21 900   900</t>
  </si>
  <si>
    <t>1221900100</t>
  </si>
  <si>
    <t>Flat Compact 21 900 1000</t>
  </si>
  <si>
    <t>1221900110</t>
  </si>
  <si>
    <t>Flat Compact 21 900 1100</t>
  </si>
  <si>
    <t>1221900120</t>
  </si>
  <si>
    <t>Flat Compact 21 900 1200</t>
  </si>
  <si>
    <t>1221900140</t>
  </si>
  <si>
    <t>Flat Compact 21 900 1400</t>
  </si>
  <si>
    <t>1221900160</t>
  </si>
  <si>
    <t>Flat Compact 21 900 1600</t>
  </si>
  <si>
    <t>1221900180</t>
  </si>
  <si>
    <t>Flat Compact 21 900 1800</t>
  </si>
  <si>
    <t>1221900200</t>
  </si>
  <si>
    <t>Flat Compact 21 900 2000</t>
  </si>
  <si>
    <t>1222300040</t>
  </si>
  <si>
    <t>Flat Compact 22 300   400</t>
  </si>
  <si>
    <t>1222300050</t>
  </si>
  <si>
    <t>Flat Compact 22 300   500</t>
  </si>
  <si>
    <t>1222300060</t>
  </si>
  <si>
    <t>Flat Compact 22 300   600</t>
  </si>
  <si>
    <t>1222300070</t>
  </si>
  <si>
    <t>Flat Compact 22 300   700</t>
  </si>
  <si>
    <t>1222300080</t>
  </si>
  <si>
    <t>Flat Compact 22 300   800</t>
  </si>
  <si>
    <t>1222300090</t>
  </si>
  <si>
    <t>Flat Compact 22 300   900</t>
  </si>
  <si>
    <t>1222300100</t>
  </si>
  <si>
    <t>Flat Compact 22 300 1000</t>
  </si>
  <si>
    <t>1222300110</t>
  </si>
  <si>
    <t>Flat Compact 22 300 1100</t>
  </si>
  <si>
    <t>1222300120</t>
  </si>
  <si>
    <t>Flat Compact 22 300 1200</t>
  </si>
  <si>
    <t>1222300140</t>
  </si>
  <si>
    <t>Flat Compact 22 300 1400</t>
  </si>
  <si>
    <t>1222300160</t>
  </si>
  <si>
    <t>Flat Compact 22 300 1600</t>
  </si>
  <si>
    <t>1222300180</t>
  </si>
  <si>
    <t>Flat Compact 22 300 1800</t>
  </si>
  <si>
    <t>1222300200</t>
  </si>
  <si>
    <t>Flat Compact 22 300 2000</t>
  </si>
  <si>
    <t>1222300230</t>
  </si>
  <si>
    <t>Flat Compact 22 300 2300</t>
  </si>
  <si>
    <t>1222300260</t>
  </si>
  <si>
    <t>Flat Compact 22 300 2600</t>
  </si>
  <si>
    <t>1222300300</t>
  </si>
  <si>
    <t>Flat Compact 22 300 3000</t>
  </si>
  <si>
    <t>1222400040</t>
  </si>
  <si>
    <t>Flat Compact 22 400   400</t>
  </si>
  <si>
    <t>1222400050</t>
  </si>
  <si>
    <t>Flat Compact 22 400   500</t>
  </si>
  <si>
    <t>1222400060</t>
  </si>
  <si>
    <t>Flat Compact 22 400   600</t>
  </si>
  <si>
    <t>1222400070</t>
  </si>
  <si>
    <t>Flat Compact 22 400   700</t>
  </si>
  <si>
    <t>1222400080</t>
  </si>
  <si>
    <t>Flat Compact 22 400   800</t>
  </si>
  <si>
    <t>1222400090</t>
  </si>
  <si>
    <t>Flat Compact 22 400   900</t>
  </si>
  <si>
    <t>1222400100</t>
  </si>
  <si>
    <t>Flat Compact 22 400 1000</t>
  </si>
  <si>
    <t>1222400110</t>
  </si>
  <si>
    <t>Flat Compact 22 400 1100</t>
  </si>
  <si>
    <t>1222400120</t>
  </si>
  <si>
    <t>Flat Compact 22 400 1200</t>
  </si>
  <si>
    <t>1222400140</t>
  </si>
  <si>
    <t>Flat Compact 22 400 1400</t>
  </si>
  <si>
    <t>1222400160</t>
  </si>
  <si>
    <t>Flat Compact 22 400 1600</t>
  </si>
  <si>
    <t>1222400180</t>
  </si>
  <si>
    <t>Flat Compact 22 400 1800</t>
  </si>
  <si>
    <t>1222400200</t>
  </si>
  <si>
    <t>Flat Compact 22 400 2000</t>
  </si>
  <si>
    <t>1222400230</t>
  </si>
  <si>
    <t>Flat Compact 22 400 2300</t>
  </si>
  <si>
    <t>1222400260</t>
  </si>
  <si>
    <t>Flat Compact 22 400 2600</t>
  </si>
  <si>
    <t>1222400300</t>
  </si>
  <si>
    <t>Flat Compact 22 400 3000</t>
  </si>
  <si>
    <t>1222500040</t>
  </si>
  <si>
    <t>Flat Compact 22 500   400</t>
  </si>
  <si>
    <t>1222500050</t>
  </si>
  <si>
    <t>Flat Compact 22 500   500</t>
  </si>
  <si>
    <t>1222500060</t>
  </si>
  <si>
    <t>Flat Compact 22 500   600</t>
  </si>
  <si>
    <t>1222500070</t>
  </si>
  <si>
    <t>Flat Compact 22 500   700</t>
  </si>
  <si>
    <t>1222500080</t>
  </si>
  <si>
    <t>Flat Compact 22 500   800</t>
  </si>
  <si>
    <t>1222500090</t>
  </si>
  <si>
    <t>Flat Compact 22 500   900</t>
  </si>
  <si>
    <t>1222500100</t>
  </si>
  <si>
    <t>Flat Compact 22 500 1000</t>
  </si>
  <si>
    <t>1222500110</t>
  </si>
  <si>
    <t>Flat Compact 22 500 1100</t>
  </si>
  <si>
    <t>1222500120</t>
  </si>
  <si>
    <t>Flat Compact 22 500 1200</t>
  </si>
  <si>
    <t>1222500140</t>
  </si>
  <si>
    <t>Flat Compact 22 500 1400</t>
  </si>
  <si>
    <t>1222500160</t>
  </si>
  <si>
    <t>Flat Compact 22 500 1600</t>
  </si>
  <si>
    <t>1222500180</t>
  </si>
  <si>
    <t>Flat Compact 22 500 1800</t>
  </si>
  <si>
    <t>1222500200</t>
  </si>
  <si>
    <t>Flat Compact 22 500 2000</t>
  </si>
  <si>
    <t>1222500230</t>
  </si>
  <si>
    <t>Flat Compact 22 500 2300</t>
  </si>
  <si>
    <t>1222500260</t>
  </si>
  <si>
    <t>Flat Compact 22 500 2600</t>
  </si>
  <si>
    <t>1222500300</t>
  </si>
  <si>
    <t>Flat Compact 22 500 3000</t>
  </si>
  <si>
    <t>1222600040</t>
  </si>
  <si>
    <t>Flat Compact 22 600   400</t>
  </si>
  <si>
    <t>1222600050</t>
  </si>
  <si>
    <t>Flat Compact 22 600   500</t>
  </si>
  <si>
    <t>1222600060</t>
  </si>
  <si>
    <t>Flat Compact 22 600   600</t>
  </si>
  <si>
    <t>1222600070</t>
  </si>
  <si>
    <t>Flat Compact 22 600   700</t>
  </si>
  <si>
    <t>1222600080</t>
  </si>
  <si>
    <t>Flat Compact 22 600   800</t>
  </si>
  <si>
    <t>1222600090</t>
  </si>
  <si>
    <t>Flat Compact 22 600   900</t>
  </si>
  <si>
    <t>1222600100</t>
  </si>
  <si>
    <t>Flat Compact 22 600 1000</t>
  </si>
  <si>
    <t>1222600110</t>
  </si>
  <si>
    <t>Flat Compact 22 600 1100</t>
  </si>
  <si>
    <t>1222600120</t>
  </si>
  <si>
    <t>Flat Compact 22 600 1200</t>
  </si>
  <si>
    <t>1222600140</t>
  </si>
  <si>
    <t>Flat Compact 22 600 1400</t>
  </si>
  <si>
    <t>1222600160</t>
  </si>
  <si>
    <t>Flat Compact 22 600 1600</t>
  </si>
  <si>
    <t>1222600180</t>
  </si>
  <si>
    <t>Flat Compact 22 600 1800</t>
  </si>
  <si>
    <t>1222600200</t>
  </si>
  <si>
    <t>Flat Compact 22 600 2000</t>
  </si>
  <si>
    <t>1222600230</t>
  </si>
  <si>
    <t>Flat Compact 22 600 2300</t>
  </si>
  <si>
    <t>1222600260</t>
  </si>
  <si>
    <t>Flat Compact 22 600 2600</t>
  </si>
  <si>
    <t>1222600300</t>
  </si>
  <si>
    <t>Flat Compact 22 600 3000</t>
  </si>
  <si>
    <t>1222900040</t>
  </si>
  <si>
    <t>Flat Compact 22 900   400</t>
  </si>
  <si>
    <t>1222900050</t>
  </si>
  <si>
    <t>Flat Compact 22 900   500</t>
  </si>
  <si>
    <t>1222900060</t>
  </si>
  <si>
    <t>Flat Compact 22 900   600</t>
  </si>
  <si>
    <t>1222900070</t>
  </si>
  <si>
    <t>Flat Compact 22 900   700</t>
  </si>
  <si>
    <t>1222900080</t>
  </si>
  <si>
    <t>Flat Compact 22 900   800</t>
  </si>
  <si>
    <t>1222900090</t>
  </si>
  <si>
    <t>Flat Compact 22 900   900</t>
  </si>
  <si>
    <t>1222900100</t>
  </si>
  <si>
    <t>Flat Compact 22 900 1000</t>
  </si>
  <si>
    <t>1222900110</t>
  </si>
  <si>
    <t>Flat Compact 22 900 1100</t>
  </si>
  <si>
    <t>1222900120</t>
  </si>
  <si>
    <t>Flat Compact 22 900 1200</t>
  </si>
  <si>
    <t>1222900140</t>
  </si>
  <si>
    <t>Flat Compact 22 900 1400</t>
  </si>
  <si>
    <t>1222900160</t>
  </si>
  <si>
    <t>Flat Compact 22 900 1600</t>
  </si>
  <si>
    <t>1222900180</t>
  </si>
  <si>
    <t>Flat Compact 22 900 1800</t>
  </si>
  <si>
    <t>1222900200</t>
  </si>
  <si>
    <t>Flat Compact 22 900 2000</t>
  </si>
  <si>
    <t>1233300040</t>
  </si>
  <si>
    <t>Flat Compact 33 300   400</t>
  </si>
  <si>
    <t>1233300050</t>
  </si>
  <si>
    <t>Flat Compact 33 300   500</t>
  </si>
  <si>
    <t>1233300060</t>
  </si>
  <si>
    <t>Flat Compact 33 300   600</t>
  </si>
  <si>
    <t>1233300070</t>
  </si>
  <si>
    <t>Flat Compact 33 300   700</t>
  </si>
  <si>
    <t>1233300080</t>
  </si>
  <si>
    <t>Flat Compact 33 300   800</t>
  </si>
  <si>
    <t>1233300090</t>
  </si>
  <si>
    <t>Flat Compact 33 300   900</t>
  </si>
  <si>
    <t>1233300100</t>
  </si>
  <si>
    <t>Flat Compact 33 300 1000</t>
  </si>
  <si>
    <t>1233300110</t>
  </si>
  <si>
    <t>Flat Compact 33 300 1100</t>
  </si>
  <si>
    <t>1233300120</t>
  </si>
  <si>
    <t>Flat Compact 33 300 1200</t>
  </si>
  <si>
    <t>1233300140</t>
  </si>
  <si>
    <t>Flat Compact 33 300 1400</t>
  </si>
  <si>
    <t>1233300160</t>
  </si>
  <si>
    <t>Flat Compact 33 300 1600</t>
  </si>
  <si>
    <t>1233300180</t>
  </si>
  <si>
    <t>Flat Compact 33 300 1800</t>
  </si>
  <si>
    <t>1233300200</t>
  </si>
  <si>
    <t>Flat Compact 33 300 2000</t>
  </si>
  <si>
    <t>1233300230</t>
  </si>
  <si>
    <t>Flat Compact 33 300 2300</t>
  </si>
  <si>
    <t>1233300260</t>
  </si>
  <si>
    <t>Flat Compact 33 300 2600</t>
  </si>
  <si>
    <t>1233300300</t>
  </si>
  <si>
    <t>Flat Compact 33 300 3000</t>
  </si>
  <si>
    <t>1233400040</t>
  </si>
  <si>
    <t>Flat Compact 33 400   400</t>
  </si>
  <si>
    <t>1233400050</t>
  </si>
  <si>
    <t>Flat Compact 33 400   500</t>
  </si>
  <si>
    <t>1233400060</t>
  </si>
  <si>
    <t>Flat Compact 33 400   600</t>
  </si>
  <si>
    <t>1233400070</t>
  </si>
  <si>
    <t>Flat Compact 33 400   700</t>
  </si>
  <si>
    <t>1233400080</t>
  </si>
  <si>
    <t>Flat Compact 33 400   800</t>
  </si>
  <si>
    <t>1233400090</t>
  </si>
  <si>
    <t>Flat Compact 33 400   900</t>
  </si>
  <si>
    <t>1233400100</t>
  </si>
  <si>
    <t>Flat Compact 33 400 1000</t>
  </si>
  <si>
    <t>1233400110</t>
  </si>
  <si>
    <t>Flat Compact 33 400 1100</t>
  </si>
  <si>
    <t>1233400120</t>
  </si>
  <si>
    <t>Flat Compact 33 400 1200</t>
  </si>
  <si>
    <t>1233400140</t>
  </si>
  <si>
    <t>Flat Compact 33 400 1400</t>
  </si>
  <si>
    <t>1233400160</t>
  </si>
  <si>
    <t>Flat Compact 33 400 1600</t>
  </si>
  <si>
    <t>1233400180</t>
  </si>
  <si>
    <t>Flat Compact 33 400 1800</t>
  </si>
  <si>
    <t>1233400200</t>
  </si>
  <si>
    <t>Flat Compact 33 400 2000</t>
  </si>
  <si>
    <t>1233400230</t>
  </si>
  <si>
    <t>Flat Compact 33 400 2300</t>
  </si>
  <si>
    <t>1233400260</t>
  </si>
  <si>
    <t>Flat Compact 33 400 2600</t>
  </si>
  <si>
    <t>1233400300</t>
  </si>
  <si>
    <t>Flat Compact 33 400 3000</t>
  </si>
  <si>
    <t>1233500040</t>
  </si>
  <si>
    <t>Flat Compact 33 500   400</t>
  </si>
  <si>
    <t>1233500050</t>
  </si>
  <si>
    <t>Flat Compact 33 500   500</t>
  </si>
  <si>
    <t>1233500060</t>
  </si>
  <si>
    <t>Flat Compact 33 500   600</t>
  </si>
  <si>
    <t>1233500070</t>
  </si>
  <si>
    <t>Flat Compact 33 500   700</t>
  </si>
  <si>
    <t>1233500080</t>
  </si>
  <si>
    <t>Flat Compact 33 500   800</t>
  </si>
  <si>
    <t>1233500090</t>
  </si>
  <si>
    <t>Flat Compact 33 500   900</t>
  </si>
  <si>
    <t>1233500100</t>
  </si>
  <si>
    <t>Flat Compact 33 500 1000</t>
  </si>
  <si>
    <t>1233500110</t>
  </si>
  <si>
    <t>Flat Compact 33 500 1100</t>
  </si>
  <si>
    <t>1233500120</t>
  </si>
  <si>
    <t>Flat Compact 33 500 1200</t>
  </si>
  <si>
    <t>1233500140</t>
  </si>
  <si>
    <t>Flat Compact 33 500 1400</t>
  </si>
  <si>
    <t>1233500160</t>
  </si>
  <si>
    <t>Flat Compact 33 500 1600</t>
  </si>
  <si>
    <t>1233500180</t>
  </si>
  <si>
    <t>Flat Compact 33 500 1800</t>
  </si>
  <si>
    <t>1233500200</t>
  </si>
  <si>
    <t>Flat Compact 33 500 2000</t>
  </si>
  <si>
    <t>1233500230</t>
  </si>
  <si>
    <t>Flat Compact 33 500 2300</t>
  </si>
  <si>
    <t>1233500260</t>
  </si>
  <si>
    <t>Flat Compact 33 500 2600</t>
  </si>
  <si>
    <t>1233500300</t>
  </si>
  <si>
    <t>Flat Compact 33 500 3000</t>
  </si>
  <si>
    <t>1233600040</t>
  </si>
  <si>
    <t>Flat Compact 33 600   400</t>
  </si>
  <si>
    <t>1233600050</t>
  </si>
  <si>
    <t>Flat Compact 33 600   500</t>
  </si>
  <si>
    <t>1233600060</t>
  </si>
  <si>
    <t>Flat Compact 33 600   600</t>
  </si>
  <si>
    <t>1233600070</t>
  </si>
  <si>
    <t>Flat Compact 33 600   700</t>
  </si>
  <si>
    <t>1233600080</t>
  </si>
  <si>
    <t>Flat Compact 33 600   800</t>
  </si>
  <si>
    <t>1233600090</t>
  </si>
  <si>
    <t>Flat Compact 33 600   900</t>
  </si>
  <si>
    <t>1233600100</t>
  </si>
  <si>
    <t>Flat Compact 33 600 1000</t>
  </si>
  <si>
    <t>1233600110</t>
  </si>
  <si>
    <t>Flat Compact 33 600 1100</t>
  </si>
  <si>
    <t>1233600120</t>
  </si>
  <si>
    <t>Flat Compact 33 600 1200</t>
  </si>
  <si>
    <t>1233600140</t>
  </si>
  <si>
    <t>Flat Compact 33 600 1400</t>
  </si>
  <si>
    <t>1233600160</t>
  </si>
  <si>
    <t>Flat Compact 33 600 1600</t>
  </si>
  <si>
    <t>1233600180</t>
  </si>
  <si>
    <t>Flat Compact 33 600 1800</t>
  </si>
  <si>
    <t>1233600200</t>
  </si>
  <si>
    <t>Flat Compact 33 600 2000</t>
  </si>
  <si>
    <t>1233600230</t>
  </si>
  <si>
    <t>Flat Compact 33 600 2300</t>
  </si>
  <si>
    <t>1233600260</t>
  </si>
  <si>
    <t>Flat Compact 33 600 2600</t>
  </si>
  <si>
    <t>1233600300</t>
  </si>
  <si>
    <t>Flat Compact 33 600 3000</t>
  </si>
  <si>
    <t>1233900040</t>
  </si>
  <si>
    <t>Flat Compact 33 900   400</t>
  </si>
  <si>
    <t>1233900050</t>
  </si>
  <si>
    <t>Flat Compact 33 900   500</t>
  </si>
  <si>
    <t>1233900060</t>
  </si>
  <si>
    <t>Flat Compact 33 900   600</t>
  </si>
  <si>
    <t>1233900070</t>
  </si>
  <si>
    <t>Flat Compact 33 900   700</t>
  </si>
  <si>
    <t>1233900080</t>
  </si>
  <si>
    <t>Flat Compact 33 900   800</t>
  </si>
  <si>
    <t>1233900090</t>
  </si>
  <si>
    <t>Flat Compact 33 900   900</t>
  </si>
  <si>
    <t>1233900100</t>
  </si>
  <si>
    <t>Flat Compact 33 900 1000</t>
  </si>
  <si>
    <t>1233900110</t>
  </si>
  <si>
    <t>Flat Compact 33 900 1100</t>
  </si>
  <si>
    <t>1233900120</t>
  </si>
  <si>
    <t>Flat Compact 33 900 1200</t>
  </si>
  <si>
    <t>1233900140</t>
  </si>
  <si>
    <t>Flat Compact 33 900 1400</t>
  </si>
  <si>
    <t>1233900160</t>
  </si>
  <si>
    <t>Flat Compact 33 900 1600</t>
  </si>
  <si>
    <t>1233900180</t>
  </si>
  <si>
    <t>Flat Compact 33 900 1800</t>
  </si>
  <si>
    <t>1233900200</t>
  </si>
  <si>
    <t>Flat Compact 33 900 2000</t>
  </si>
  <si>
    <t>1311300040</t>
  </si>
  <si>
    <t>Purmo Compact 11 300   400</t>
  </si>
  <si>
    <t>1311300050</t>
  </si>
  <si>
    <t>Purmo Compact 11 300   500</t>
  </si>
  <si>
    <t>1311300060</t>
  </si>
  <si>
    <t>Purmo Compact 11 300   600</t>
  </si>
  <si>
    <t>1311300070</t>
  </si>
  <si>
    <t>Purmo Compact 11 300   700</t>
  </si>
  <si>
    <t>1311300080</t>
  </si>
  <si>
    <t>Purmo Compact 11 300   800</t>
  </si>
  <si>
    <t>1311300090</t>
  </si>
  <si>
    <t>Purmo Compact 11 300   900</t>
  </si>
  <si>
    <t>1311300100</t>
  </si>
  <si>
    <t>Purmo Compact 11 300 1000</t>
  </si>
  <si>
    <t>1311300110</t>
  </si>
  <si>
    <t>Purmo Compact 11 300 1100</t>
  </si>
  <si>
    <t>1311300120</t>
  </si>
  <si>
    <t>Purmo Compact 11 300 1200</t>
  </si>
  <si>
    <t>1311300140</t>
  </si>
  <si>
    <t>Purmo Compact 11 300 1400</t>
  </si>
  <si>
    <t>1311300160</t>
  </si>
  <si>
    <t>Purmo Compact 11 300 1600</t>
  </si>
  <si>
    <t>1311300180</t>
  </si>
  <si>
    <t>Purmo Compact 11 300 1800</t>
  </si>
  <si>
    <t>1311300200</t>
  </si>
  <si>
    <t>Purmo Compact 11 300 2000</t>
  </si>
  <si>
    <t>1311300230</t>
  </si>
  <si>
    <t>Purmo Compact 11 300 2300</t>
  </si>
  <si>
    <t>1311300260</t>
  </si>
  <si>
    <t>Purmo Compact 11 300 2600</t>
  </si>
  <si>
    <t>1311300300</t>
  </si>
  <si>
    <t>Purmo Compact 11 300 3000</t>
  </si>
  <si>
    <t>1311400040</t>
  </si>
  <si>
    <t>Purmo Compact 11 400   400</t>
  </si>
  <si>
    <t>1311400050</t>
  </si>
  <si>
    <t>Purmo Compact 11 400   500</t>
  </si>
  <si>
    <t>1311400060</t>
  </si>
  <si>
    <t>Purmo Compact 11 400   600</t>
  </si>
  <si>
    <t>1311400070</t>
  </si>
  <si>
    <t>Purmo Compact 11 400   700</t>
  </si>
  <si>
    <t>1311400080</t>
  </si>
  <si>
    <t>Purmo Compact 11 400   800</t>
  </si>
  <si>
    <t>1311400090</t>
  </si>
  <si>
    <t>Purmo Compact 11 400   900</t>
  </si>
  <si>
    <t>1311400100</t>
  </si>
  <si>
    <t>Purmo Compact 11 400 1000</t>
  </si>
  <si>
    <t>1311400110</t>
  </si>
  <si>
    <t>Purmo Compact 11 400 1100</t>
  </si>
  <si>
    <t>1311400120</t>
  </si>
  <si>
    <t>Purmo Compact 11 400 1200</t>
  </si>
  <si>
    <t>1311400140</t>
  </si>
  <si>
    <t>Purmo Compact 11 400 1400</t>
  </si>
  <si>
    <t>1311400160</t>
  </si>
  <si>
    <t>Purmo Compact 11 400 1600</t>
  </si>
  <si>
    <t>1311400180</t>
  </si>
  <si>
    <t>Purmo Compact 11 400 1800</t>
  </si>
  <si>
    <t>1311400200</t>
  </si>
  <si>
    <t>Purmo Compact 11 400 2000</t>
  </si>
  <si>
    <t>1311400230</t>
  </si>
  <si>
    <t>Purmo Compact 11 400 2300</t>
  </si>
  <si>
    <t>1311400260</t>
  </si>
  <si>
    <t>Purmo Compact 11 400 2600</t>
  </si>
  <si>
    <t>1311400300</t>
  </si>
  <si>
    <t>Purmo Compact 11 400 3000</t>
  </si>
  <si>
    <t>1311450040</t>
  </si>
  <si>
    <t>Purmo Compact 11 450   400</t>
  </si>
  <si>
    <t>1311450050</t>
  </si>
  <si>
    <t>Purmo Compact 11 450   500</t>
  </si>
  <si>
    <t>1311450060</t>
  </si>
  <si>
    <t>Purmo Compact 11 450   600</t>
  </si>
  <si>
    <t>1311450070</t>
  </si>
  <si>
    <t>Purmo Compact 11 450   700</t>
  </si>
  <si>
    <t>1311450080</t>
  </si>
  <si>
    <t>Purmo Compact 11 450   800</t>
  </si>
  <si>
    <t>1311450090</t>
  </si>
  <si>
    <t>Purmo Compact 11 450   900</t>
  </si>
  <si>
    <t>1311450100</t>
  </si>
  <si>
    <t>Purmo Compact 11 450 1000</t>
  </si>
  <si>
    <t>1311450110</t>
  </si>
  <si>
    <t>Purmo Compact 11 450 1100</t>
  </si>
  <si>
    <t>1311450120</t>
  </si>
  <si>
    <t>Purmo Compact 11 450 1200</t>
  </si>
  <si>
    <t>1311450140</t>
  </si>
  <si>
    <t>Purmo Compact 11 450 1400</t>
  </si>
  <si>
    <t>1311450160</t>
  </si>
  <si>
    <t>Purmo Compact 11 450 1600</t>
  </si>
  <si>
    <t>1311450180</t>
  </si>
  <si>
    <t>Purmo Compact 11 450 1800</t>
  </si>
  <si>
    <t>1311450200</t>
  </si>
  <si>
    <t>Purmo Compact 11 450 2000</t>
  </si>
  <si>
    <t>1311450230</t>
  </si>
  <si>
    <t>Purmo Compact 11 450 2300</t>
  </si>
  <si>
    <t>1311450260</t>
  </si>
  <si>
    <t>Purmo Compact 11 450 2600</t>
  </si>
  <si>
    <t>1311450300</t>
  </si>
  <si>
    <t>Purmo Compact 11 450 3000</t>
  </si>
  <si>
    <t>1311500040</t>
  </si>
  <si>
    <t>Purmo Compact 11 500   400</t>
  </si>
  <si>
    <t>1311500050</t>
  </si>
  <si>
    <t>Purmo Compact 11 500   500</t>
  </si>
  <si>
    <t>1311500060</t>
  </si>
  <si>
    <t>Purmo Compact 11 500   600</t>
  </si>
  <si>
    <t>1311500070</t>
  </si>
  <si>
    <t>Purmo Compact 11 500   700</t>
  </si>
  <si>
    <t>1311500080</t>
  </si>
  <si>
    <t>Purmo Compact 11 500   800</t>
  </si>
  <si>
    <t>1311500090</t>
  </si>
  <si>
    <t>Purmo Compact 11 500   900</t>
  </si>
  <si>
    <t>1311500100</t>
  </si>
  <si>
    <t>Purmo Compact 11 500 1000</t>
  </si>
  <si>
    <t>1311500110</t>
  </si>
  <si>
    <t>Purmo Compact 11 500 1100</t>
  </si>
  <si>
    <t>1311500120</t>
  </si>
  <si>
    <t>Purmo Compact 11 500 1200</t>
  </si>
  <si>
    <t>1311500140</t>
  </si>
  <si>
    <t>Purmo Compact 11 500 1400</t>
  </si>
  <si>
    <t>1311500160</t>
  </si>
  <si>
    <t>Purmo Compact 11 500 1600</t>
  </si>
  <si>
    <t>1311500180</t>
  </si>
  <si>
    <t>Purmo Compact 11 500 1800</t>
  </si>
  <si>
    <t>1311500200</t>
  </si>
  <si>
    <t>Purmo Compact 11 500 2000</t>
  </si>
  <si>
    <t>1311500230</t>
  </si>
  <si>
    <t>Purmo Compact 11 500 2300</t>
  </si>
  <si>
    <t>1311500260</t>
  </si>
  <si>
    <t>Purmo Compact 11 500 2600</t>
  </si>
  <si>
    <t>1311500300</t>
  </si>
  <si>
    <t>Purmo Compact 11 500 3000</t>
  </si>
  <si>
    <t>1311550040</t>
  </si>
  <si>
    <t>Purmo Compact 11 550   400</t>
  </si>
  <si>
    <t>1311550050</t>
  </si>
  <si>
    <t>Purmo Compact 11 550   500</t>
  </si>
  <si>
    <t>1311550060</t>
  </si>
  <si>
    <t>Purmo Compact 11 550   600</t>
  </si>
  <si>
    <t>1311550070</t>
  </si>
  <si>
    <t>Purmo Compact 11 550   700</t>
  </si>
  <si>
    <t>1311550080</t>
  </si>
  <si>
    <t>Purmo Compact 11 550   800</t>
  </si>
  <si>
    <t>1311550090</t>
  </si>
  <si>
    <t>Purmo Compact 11 550   900</t>
  </si>
  <si>
    <t>1311550100</t>
  </si>
  <si>
    <t>Purmo Compact 11 550 1000</t>
  </si>
  <si>
    <t>1311550110</t>
  </si>
  <si>
    <t>Purmo Compact 11 550 1100</t>
  </si>
  <si>
    <t>1311550120</t>
  </si>
  <si>
    <t>Purmo Compact 11 550 1200</t>
  </si>
  <si>
    <t>1311550140</t>
  </si>
  <si>
    <t>Purmo Compact 11 550 1400</t>
  </si>
  <si>
    <t>1311550160</t>
  </si>
  <si>
    <t>Purmo Compact 11 550 1600</t>
  </si>
  <si>
    <t>1311550180</t>
  </si>
  <si>
    <t>Purmo Compact 11 550 1800</t>
  </si>
  <si>
    <t>1311550200</t>
  </si>
  <si>
    <t>Purmo Compact 11 550 2000</t>
  </si>
  <si>
    <t>1311550230</t>
  </si>
  <si>
    <t>Purmo Compact 11 550 2300</t>
  </si>
  <si>
    <t>1311550260</t>
  </si>
  <si>
    <t>Purmo Compact 11 550 2600</t>
  </si>
  <si>
    <t>1311550300</t>
  </si>
  <si>
    <t>Purmo Compact 11 550 3000</t>
  </si>
  <si>
    <t>1311600040</t>
  </si>
  <si>
    <t>Purmo Compact 11 600   400</t>
  </si>
  <si>
    <t>1311600050</t>
  </si>
  <si>
    <t>Purmo Compact 11 600   500</t>
  </si>
  <si>
    <t>1311600060</t>
  </si>
  <si>
    <t>Purmo Compact 11 600   600</t>
  </si>
  <si>
    <t>1311600070</t>
  </si>
  <si>
    <t>Purmo Compact 11 600   700</t>
  </si>
  <si>
    <t>1311600080</t>
  </si>
  <si>
    <t>Purmo Compact 11 600   800</t>
  </si>
  <si>
    <t>1311600090</t>
  </si>
  <si>
    <t>Purmo Compact 11 600   900</t>
  </si>
  <si>
    <t>1311600100</t>
  </si>
  <si>
    <t>Purmo Compact 11 600 1000</t>
  </si>
  <si>
    <t>1311600110</t>
  </si>
  <si>
    <t>Purmo Compact 11 600 1100</t>
  </si>
  <si>
    <t>1311600120</t>
  </si>
  <si>
    <t>Purmo Compact 11 600 1200</t>
  </si>
  <si>
    <t>1311600140</t>
  </si>
  <si>
    <t>Purmo Compact 11 600 1400</t>
  </si>
  <si>
    <t>1311600160</t>
  </si>
  <si>
    <t>Purmo Compact 11 600 1600</t>
  </si>
  <si>
    <t>1311600180</t>
  </si>
  <si>
    <t>Purmo Compact 11 600 1800</t>
  </si>
  <si>
    <t>1311600200</t>
  </si>
  <si>
    <t>Purmo Compact 11 600 2000</t>
  </si>
  <si>
    <t>1311600230</t>
  </si>
  <si>
    <t>Purmo Compact 11 600 2300</t>
  </si>
  <si>
    <t>1311600260</t>
  </si>
  <si>
    <t>Purmo Compact 11 600 2600</t>
  </si>
  <si>
    <t>1311600300</t>
  </si>
  <si>
    <t>Purmo Compact 11 600 3000</t>
  </si>
  <si>
    <t>1311900040</t>
  </si>
  <si>
    <t>Purmo Compact 11 900   400</t>
  </si>
  <si>
    <t>1311900050</t>
  </si>
  <si>
    <t>Purmo Compact 11 900   500</t>
  </si>
  <si>
    <t>1311900060</t>
  </si>
  <si>
    <t>Purmo Compact 11 900   600</t>
  </si>
  <si>
    <t>1311900070</t>
  </si>
  <si>
    <t>Purmo Compact 11 900   700</t>
  </si>
  <si>
    <t>1311900080</t>
  </si>
  <si>
    <t>Purmo Compact 11 900   800</t>
  </si>
  <si>
    <t>1311900090</t>
  </si>
  <si>
    <t>Purmo Compact 11 900   900</t>
  </si>
  <si>
    <t>1311900100</t>
  </si>
  <si>
    <t>Purmo Compact 11 900 1000</t>
  </si>
  <si>
    <t>1311900110</t>
  </si>
  <si>
    <t>Purmo Compact 11 900 1100</t>
  </si>
  <si>
    <t>1311900120</t>
  </si>
  <si>
    <t>Purmo Compact 11 900 1200</t>
  </si>
  <si>
    <t>1311900140</t>
  </si>
  <si>
    <t>Purmo Compact 11 900 1400</t>
  </si>
  <si>
    <t>1311900160</t>
  </si>
  <si>
    <t>Purmo Compact 11 900 1600</t>
  </si>
  <si>
    <t>1311900180</t>
  </si>
  <si>
    <t>Purmo Compact 11 900 1800</t>
  </si>
  <si>
    <t>1311900200</t>
  </si>
  <si>
    <t>Purmo Compact 11 900 2000</t>
  </si>
  <si>
    <t>1311900230</t>
  </si>
  <si>
    <t>Purmo Compact 11 900 2300</t>
  </si>
  <si>
    <t>1311900260</t>
  </si>
  <si>
    <t>Purmo Compact 11 900 2600</t>
  </si>
  <si>
    <t>1311900300</t>
  </si>
  <si>
    <t>Purmo Compact 11 900 3000</t>
  </si>
  <si>
    <t>1321300040</t>
  </si>
  <si>
    <t>Purmo Compact 21 300   400</t>
  </si>
  <si>
    <t>1321300050</t>
  </si>
  <si>
    <t>Purmo Compact 21 300   500</t>
  </si>
  <si>
    <t>1321300060</t>
  </si>
  <si>
    <t>Purmo Compact 21 300   600</t>
  </si>
  <si>
    <t>1321300070</t>
  </si>
  <si>
    <t>Purmo Compact 21 300   700</t>
  </si>
  <si>
    <t>1321300080</t>
  </si>
  <si>
    <t>Purmo Compact 21 300   800</t>
  </si>
  <si>
    <t>1321300090</t>
  </si>
  <si>
    <t>Purmo Compact 21 300   900</t>
  </si>
  <si>
    <t>1321300100</t>
  </si>
  <si>
    <t>Purmo Compact 21 300 1000</t>
  </si>
  <si>
    <t>1321300110</t>
  </si>
  <si>
    <t>Purmo Compact 21 300 1100</t>
  </si>
  <si>
    <t>1321300120</t>
  </si>
  <si>
    <t>Purmo Compact 21 300 1200</t>
  </si>
  <si>
    <t>1321300140</t>
  </si>
  <si>
    <t>Purmo Compact 21 300 1400</t>
  </si>
  <si>
    <t>1321300160</t>
  </si>
  <si>
    <t>Purmo Compact 21 300 1600</t>
  </si>
  <si>
    <t>1321300180</t>
  </si>
  <si>
    <t>Purmo Compact 21 300 1800</t>
  </si>
  <si>
    <t>1321300200</t>
  </si>
  <si>
    <t>Purmo Compact 21 300 2000</t>
  </si>
  <si>
    <t>1321300230</t>
  </si>
  <si>
    <t>Purmo Compact 21 300 2300</t>
  </si>
  <si>
    <t>1321300260</t>
  </si>
  <si>
    <t>Purmo Compact 21 300 2600</t>
  </si>
  <si>
    <t>1321300300</t>
  </si>
  <si>
    <t>Purmo Compact 21 300 3000</t>
  </si>
  <si>
    <t>1321400040</t>
  </si>
  <si>
    <t>Purmo Compact 21 400   400</t>
  </si>
  <si>
    <t>1321400050</t>
  </si>
  <si>
    <t>Purmo Compact 21 400   500</t>
  </si>
  <si>
    <t>1321400060</t>
  </si>
  <si>
    <t>Purmo Compact 21 400   600</t>
  </si>
  <si>
    <t>1321400070</t>
  </si>
  <si>
    <t>Purmo Compact 21 400   700</t>
  </si>
  <si>
    <t>1321400080</t>
  </si>
  <si>
    <t>Purmo Compact 21 400   800</t>
  </si>
  <si>
    <t>1321400090</t>
  </si>
  <si>
    <t>Purmo Compact 21 400   900</t>
  </si>
  <si>
    <t>1321400100</t>
  </si>
  <si>
    <t>Purmo Compact 21 400 1000</t>
  </si>
  <si>
    <t>1321400110</t>
  </si>
  <si>
    <t>Purmo Compact 21 400 1100</t>
  </si>
  <si>
    <t>1321400120</t>
  </si>
  <si>
    <t>Purmo Compact 21 400 1200</t>
  </si>
  <si>
    <t>1321400140</t>
  </si>
  <si>
    <t>Purmo Compact 21 400 1400</t>
  </si>
  <si>
    <t>1321400160</t>
  </si>
  <si>
    <t>Purmo Compact 21 400 1600</t>
  </si>
  <si>
    <t>1321400180</t>
  </si>
  <si>
    <t>Purmo Compact 21 400 1800</t>
  </si>
  <si>
    <t>1321400200</t>
  </si>
  <si>
    <t>Purmo Compact 21 400 2000</t>
  </si>
  <si>
    <t>1321400230</t>
  </si>
  <si>
    <t>Purmo Compact 21 400 2300</t>
  </si>
  <si>
    <t>1321400260</t>
  </si>
  <si>
    <t>Purmo Compact 21 400 2600</t>
  </si>
  <si>
    <t>1321400300</t>
  </si>
  <si>
    <t>Purmo Compact 21 400 3000</t>
  </si>
  <si>
    <t>1321450040</t>
  </si>
  <si>
    <t>Purmo Compact 21 450   400</t>
  </si>
  <si>
    <t>1321450050</t>
  </si>
  <si>
    <t>Purmo Compact 21 450   500</t>
  </si>
  <si>
    <t>1321450060</t>
  </si>
  <si>
    <t>Purmo Compact 21 450   600</t>
  </si>
  <si>
    <t>1321450070</t>
  </si>
  <si>
    <t>Purmo Compact 21 450   700</t>
  </si>
  <si>
    <t>1321450080</t>
  </si>
  <si>
    <t>Purmo Compact 21 450   800</t>
  </si>
  <si>
    <t>1321450090</t>
  </si>
  <si>
    <t>Purmo Compact 21 450   900</t>
  </si>
  <si>
    <t>1321450100</t>
  </si>
  <si>
    <t>Purmo Compact 21 450 1000</t>
  </si>
  <si>
    <t>1321450110</t>
  </si>
  <si>
    <t>Purmo Compact 21 450 1100</t>
  </si>
  <si>
    <t>1321450120</t>
  </si>
  <si>
    <t>Purmo Compact 21 450 1200</t>
  </si>
  <si>
    <t>1321450140</t>
  </si>
  <si>
    <t>Purmo Compact 21 450 1400</t>
  </si>
  <si>
    <t>1321450160</t>
  </si>
  <si>
    <t>Purmo Compact 21 450 1600</t>
  </si>
  <si>
    <t>1321450180</t>
  </si>
  <si>
    <t>Purmo Compact 21 450 1800</t>
  </si>
  <si>
    <t>1321450200</t>
  </si>
  <si>
    <t>Purmo Compact 21 450 2000</t>
  </si>
  <si>
    <t>1321450230</t>
  </si>
  <si>
    <t>Purmo Compact 21 450 2300</t>
  </si>
  <si>
    <t>1321450260</t>
  </si>
  <si>
    <t>Purmo Compact 21 450 2600</t>
  </si>
  <si>
    <t>1321450300</t>
  </si>
  <si>
    <t>Purmo Compact 21 450 3000</t>
  </si>
  <si>
    <t>1321500040</t>
  </si>
  <si>
    <t>Purmo Compact 21 500   400</t>
  </si>
  <si>
    <t>1321500050</t>
  </si>
  <si>
    <t>Purmo Compact 21 500   500</t>
  </si>
  <si>
    <t>1321500060</t>
  </si>
  <si>
    <t>Purmo Compact 21 500   600</t>
  </si>
  <si>
    <t>1321500070</t>
  </si>
  <si>
    <t>Purmo Compact 21 500   700</t>
  </si>
  <si>
    <t>1321500080</t>
  </si>
  <si>
    <t>Purmo Compact 21 500   800</t>
  </si>
  <si>
    <t>1321500090</t>
  </si>
  <si>
    <t>Purmo Compact 21 500   900</t>
  </si>
  <si>
    <t>1321500100</t>
  </si>
  <si>
    <t>Purmo Compact 21 500 1000</t>
  </si>
  <si>
    <t>1321500110</t>
  </si>
  <si>
    <t>Purmo Compact 21 500 1100</t>
  </si>
  <si>
    <t>1321500120</t>
  </si>
  <si>
    <t>Purmo Compact 21 500 1200</t>
  </si>
  <si>
    <t>1321500140</t>
  </si>
  <si>
    <t>Purmo Compact 21 500 1400</t>
  </si>
  <si>
    <t>1321500160</t>
  </si>
  <si>
    <t>Purmo Compact 21 500 1600</t>
  </si>
  <si>
    <t>1321500180</t>
  </si>
  <si>
    <t>Purmo Compact 21 500 1800</t>
  </si>
  <si>
    <t>1321500200</t>
  </si>
  <si>
    <t>Purmo Compact 21 500 2000</t>
  </si>
  <si>
    <t>1321500230</t>
  </si>
  <si>
    <t>Purmo Compact 21 500 2300</t>
  </si>
  <si>
    <t>1321500260</t>
  </si>
  <si>
    <t>Purmo Compact 21 500 2600</t>
  </si>
  <si>
    <t>1321500300</t>
  </si>
  <si>
    <t>Purmo Compact 21 500 3000</t>
  </si>
  <si>
    <t>1321550040</t>
  </si>
  <si>
    <t>Purmo Compact 21 550   400</t>
  </si>
  <si>
    <t>1321550050</t>
  </si>
  <si>
    <t>Purmo Compact 21 550   500</t>
  </si>
  <si>
    <t>1321550060</t>
  </si>
  <si>
    <t>Purmo Compact 21 550   600</t>
  </si>
  <si>
    <t>1321550070</t>
  </si>
  <si>
    <t>Purmo Compact 21 550   700</t>
  </si>
  <si>
    <t>1321550080</t>
  </si>
  <si>
    <t>Purmo Compact 21 550   800</t>
  </si>
  <si>
    <t>1321550090</t>
  </si>
  <si>
    <t>Purmo Compact 21 550   900</t>
  </si>
  <si>
    <t>1321550100</t>
  </si>
  <si>
    <t>Purmo Compact 21 550 1000</t>
  </si>
  <si>
    <t>1321550110</t>
  </si>
  <si>
    <t>Purmo Compact 21 550 1100</t>
  </si>
  <si>
    <t>1321550120</t>
  </si>
  <si>
    <t>Purmo Compact 21 550 1200</t>
  </si>
  <si>
    <t>1321550140</t>
  </si>
  <si>
    <t>Purmo Compact 21 550 1400</t>
  </si>
  <si>
    <t>1321550160</t>
  </si>
  <si>
    <t>Purmo Compact 21 550 1600</t>
  </si>
  <si>
    <t>1321550180</t>
  </si>
  <si>
    <t>Purmo Compact 21 550 1800</t>
  </si>
  <si>
    <t>1321550200</t>
  </si>
  <si>
    <t>Purmo Compact 21 550 2000</t>
  </si>
  <si>
    <t>1321550230</t>
  </si>
  <si>
    <t>Purmo Compact 21 550 2300</t>
  </si>
  <si>
    <t>1321550260</t>
  </si>
  <si>
    <t>Purmo Compact 21 550 2600</t>
  </si>
  <si>
    <t>1321550300</t>
  </si>
  <si>
    <t>Purmo Compact 21 550 3000</t>
  </si>
  <si>
    <t>1321600040</t>
  </si>
  <si>
    <t>Purmo Compact 21 600   400</t>
  </si>
  <si>
    <t>1321600050</t>
  </si>
  <si>
    <t>Purmo Compact 21 600   500</t>
  </si>
  <si>
    <t>1321600060</t>
  </si>
  <si>
    <t>Purmo Compact 21 600   600</t>
  </si>
  <si>
    <t>1321600070</t>
  </si>
  <si>
    <t>Purmo Compact 21 600   700</t>
  </si>
  <si>
    <t>1321600080</t>
  </si>
  <si>
    <t>Purmo Compact 21 600   800</t>
  </si>
  <si>
    <t>1321600090</t>
  </si>
  <si>
    <t>Purmo Compact 21 600   900</t>
  </si>
  <si>
    <t>1321600100</t>
  </si>
  <si>
    <t>Purmo Compact 21 600 1000</t>
  </si>
  <si>
    <t>1321600110</t>
  </si>
  <si>
    <t>Purmo Compact 21 600 1100</t>
  </si>
  <si>
    <t>1321600120</t>
  </si>
  <si>
    <t>Purmo Compact 21 600 1200</t>
  </si>
  <si>
    <t>1321600140</t>
  </si>
  <si>
    <t>Purmo Compact 21 600 1400</t>
  </si>
  <si>
    <t>1321600160</t>
  </si>
  <si>
    <t>Purmo Compact 21 600 1600</t>
  </si>
  <si>
    <t>1321600180</t>
  </si>
  <si>
    <t>Purmo Compact 21 600 1800</t>
  </si>
  <si>
    <t>1321600200</t>
  </si>
  <si>
    <t>Purmo Compact 21 600 2000</t>
  </si>
  <si>
    <t>1321600230</t>
  </si>
  <si>
    <t>Purmo Compact 21 600 2300</t>
  </si>
  <si>
    <t>1321600260</t>
  </si>
  <si>
    <t>Purmo Compact 21 600 2600</t>
  </si>
  <si>
    <t>1321600300</t>
  </si>
  <si>
    <t>Purmo Compact 21 600 3000</t>
  </si>
  <si>
    <t>1321900040</t>
  </si>
  <si>
    <t>Purmo Compact 21 900   400</t>
  </si>
  <si>
    <t>1321900050</t>
  </si>
  <si>
    <t>Purmo Compact 21 900   500</t>
  </si>
  <si>
    <t>1321900060</t>
  </si>
  <si>
    <t>Purmo Compact 21 900   600</t>
  </si>
  <si>
    <t>1321900070</t>
  </si>
  <si>
    <t>Purmo Compact 21 900   700</t>
  </si>
  <si>
    <t>1321900080</t>
  </si>
  <si>
    <t>Purmo Compact 21 900   800</t>
  </si>
  <si>
    <t>1321900090</t>
  </si>
  <si>
    <t>Purmo Compact 21 900   900</t>
  </si>
  <si>
    <t>1321900100</t>
  </si>
  <si>
    <t>Purmo Compact 21 900 1000</t>
  </si>
  <si>
    <t>1321900110</t>
  </si>
  <si>
    <t>Purmo Compact 21 900 1100</t>
  </si>
  <si>
    <t>1321900120</t>
  </si>
  <si>
    <t>Purmo Compact 21 900 1200</t>
  </si>
  <si>
    <t>1321900140</t>
  </si>
  <si>
    <t>Purmo Compact 21 900 1400</t>
  </si>
  <si>
    <t>1321900160</t>
  </si>
  <si>
    <t>Purmo Compact 21 900 1600</t>
  </si>
  <si>
    <t>1321900180</t>
  </si>
  <si>
    <t>Purmo Compact 21 900 1800</t>
  </si>
  <si>
    <t>1321900200</t>
  </si>
  <si>
    <t>Purmo Compact 21 900 2000</t>
  </si>
  <si>
    <t>1321900230</t>
  </si>
  <si>
    <t>Purmo Compact 21 900 2300</t>
  </si>
  <si>
    <t>1321900260</t>
  </si>
  <si>
    <t>Purmo Compact 21 900 2600</t>
  </si>
  <si>
    <t>1321900300</t>
  </si>
  <si>
    <t>Purmo Compact 21 900 3000</t>
  </si>
  <si>
    <t>1322300040</t>
  </si>
  <si>
    <t>Purmo Compact 22 300   400</t>
  </si>
  <si>
    <t>1322300050</t>
  </si>
  <si>
    <t>Purmo Compact 22 300   500</t>
  </si>
  <si>
    <t>1322300060</t>
  </si>
  <si>
    <t>Purmo Compact 22 300   600</t>
  </si>
  <si>
    <t>1322300070</t>
  </si>
  <si>
    <t>Purmo Compact 22 300   700</t>
  </si>
  <si>
    <t>1322300080</t>
  </si>
  <si>
    <t>Purmo Compact 22 300   800</t>
  </si>
  <si>
    <t>1322300090</t>
  </si>
  <si>
    <t>Purmo Compact 22 300   900</t>
  </si>
  <si>
    <t>1322300100</t>
  </si>
  <si>
    <t>Purmo Compact 22 300 1000</t>
  </si>
  <si>
    <t>1322300110</t>
  </si>
  <si>
    <t>Purmo Compact 22 300 1100</t>
  </si>
  <si>
    <t>1322300120</t>
  </si>
  <si>
    <t>Purmo Compact 22 300 1200</t>
  </si>
  <si>
    <t>1322300140</t>
  </si>
  <si>
    <t>Purmo Compact 22 300 1400</t>
  </si>
  <si>
    <t>1322300160</t>
  </si>
  <si>
    <t>Purmo Compact 22 300 1600</t>
  </si>
  <si>
    <t>1322300180</t>
  </si>
  <si>
    <t>Purmo Compact 22 300 1800</t>
  </si>
  <si>
    <t>1322300200</t>
  </si>
  <si>
    <t>Purmo Compact 22 300 2000</t>
  </si>
  <si>
    <t>1322300230</t>
  </si>
  <si>
    <t>Purmo Compact 22 300 2300</t>
  </si>
  <si>
    <t>1322300260</t>
  </si>
  <si>
    <t>Purmo Compact 22 300 2600</t>
  </si>
  <si>
    <t>1322300300</t>
  </si>
  <si>
    <t>Purmo Compact 22 300 3000</t>
  </si>
  <si>
    <t>1322400040</t>
  </si>
  <si>
    <t>Purmo Compact 22 400   400</t>
  </si>
  <si>
    <t>1322400050</t>
  </si>
  <si>
    <t>Purmo Compact 22 400   500</t>
  </si>
  <si>
    <t>1322400060</t>
  </si>
  <si>
    <t>Purmo Compact 22 400   600</t>
  </si>
  <si>
    <t>1322400070</t>
  </si>
  <si>
    <t>Purmo Compact 22 400   700</t>
  </si>
  <si>
    <t>1322400080</t>
  </si>
  <si>
    <t>Purmo Compact 22 400   800</t>
  </si>
  <si>
    <t>1322400090</t>
  </si>
  <si>
    <t>Purmo Compact 22 400   900</t>
  </si>
  <si>
    <t>1322400100</t>
  </si>
  <si>
    <t>Purmo Compact 22 400 1000</t>
  </si>
  <si>
    <t>1322400110</t>
  </si>
  <si>
    <t>Purmo Compact 22 400 1100</t>
  </si>
  <si>
    <t>1322400120</t>
  </si>
  <si>
    <t>Purmo Compact 22 400 1200</t>
  </si>
  <si>
    <t>1322400140</t>
  </si>
  <si>
    <t>Purmo Compact 22 400 1400</t>
  </si>
  <si>
    <t>1322400160</t>
  </si>
  <si>
    <t>Purmo Compact 22 400 1600</t>
  </si>
  <si>
    <t>1322400180</t>
  </si>
  <si>
    <t>Purmo Compact 22 400 1800</t>
  </si>
  <si>
    <t>1322400200</t>
  </si>
  <si>
    <t>Purmo Compact 22 400 2000</t>
  </si>
  <si>
    <t>1322400230</t>
  </si>
  <si>
    <t>Purmo Compact 22 400 2300</t>
  </si>
  <si>
    <t>1322400260</t>
  </si>
  <si>
    <t>Purmo Compact 22 400 2600</t>
  </si>
  <si>
    <t>1322400300</t>
  </si>
  <si>
    <t>Purmo Compact 22 400 3000</t>
  </si>
  <si>
    <t>1322450040</t>
  </si>
  <si>
    <t>Purmo Compact 22 450   400</t>
  </si>
  <si>
    <t>1322450050</t>
  </si>
  <si>
    <t>Purmo Compact 22 450   500</t>
  </si>
  <si>
    <t>1322450060</t>
  </si>
  <si>
    <t>Purmo Compact 22 450   600</t>
  </si>
  <si>
    <t>1322450070</t>
  </si>
  <si>
    <t>Purmo Compact 22 450   700</t>
  </si>
  <si>
    <t>1322450080</t>
  </si>
  <si>
    <t>Purmo Compact 22 450   800</t>
  </si>
  <si>
    <t>1322450090</t>
  </si>
  <si>
    <t>Purmo Compact 22 450   900</t>
  </si>
  <si>
    <t>1322450100</t>
  </si>
  <si>
    <t>Purmo Compact 22 450 1000</t>
  </si>
  <si>
    <t>1322450110</t>
  </si>
  <si>
    <t>Purmo Compact 22 450 1100</t>
  </si>
  <si>
    <t>1322450120</t>
  </si>
  <si>
    <t>Purmo Compact 22 450 1200</t>
  </si>
  <si>
    <t>1322450140</t>
  </si>
  <si>
    <t>Purmo Compact 22 450 1400</t>
  </si>
  <si>
    <t>1322450160</t>
  </si>
  <si>
    <t>Purmo Compact 22 450 1600</t>
  </si>
  <si>
    <t>1322450180</t>
  </si>
  <si>
    <t>Purmo Compact 22 450 1800</t>
  </si>
  <si>
    <t>1322450200</t>
  </si>
  <si>
    <t>Purmo Compact 22 450 2000</t>
  </si>
  <si>
    <t>1322450230</t>
  </si>
  <si>
    <t>Purmo Compact 22 450 2300</t>
  </si>
  <si>
    <t>1322450260</t>
  </si>
  <si>
    <t>Purmo Compact 22 450 2600</t>
  </si>
  <si>
    <t>1322450300</t>
  </si>
  <si>
    <t>Purmo Compact 22 450 3000</t>
  </si>
  <si>
    <t>1322500040</t>
  </si>
  <si>
    <t>Purmo Compact 22 500   400</t>
  </si>
  <si>
    <t>1322500050</t>
  </si>
  <si>
    <t>Purmo Compact 22 500   500</t>
  </si>
  <si>
    <t>1322500060</t>
  </si>
  <si>
    <t>Purmo Compact 22 500   600</t>
  </si>
  <si>
    <t>1322500070</t>
  </si>
  <si>
    <t>Purmo Compact 22 500   700</t>
  </si>
  <si>
    <t>1322500080</t>
  </si>
  <si>
    <t>Purmo Compact 22 500   800</t>
  </si>
  <si>
    <t>1322500090</t>
  </si>
  <si>
    <t>Purmo Compact 22 500   900</t>
  </si>
  <si>
    <t>1322500100</t>
  </si>
  <si>
    <t>Purmo Compact 22 500 1000</t>
  </si>
  <si>
    <t>1322500110</t>
  </si>
  <si>
    <t>Purmo Compact 22 500 1100</t>
  </si>
  <si>
    <t>1322500120</t>
  </si>
  <si>
    <t>Purmo Compact 22 500 1200</t>
  </si>
  <si>
    <t>1322500140</t>
  </si>
  <si>
    <t>Purmo Compact 22 500 1400</t>
  </si>
  <si>
    <t>1322500160</t>
  </si>
  <si>
    <t>Purmo Compact 22 500 1600</t>
  </si>
  <si>
    <t>1322500180</t>
  </si>
  <si>
    <t>Purmo Compact 22 500 1800</t>
  </si>
  <si>
    <t>1322500200</t>
  </si>
  <si>
    <t>Purmo Compact 22 500 2000</t>
  </si>
  <si>
    <t>1322500230</t>
  </si>
  <si>
    <t>Purmo Compact 22 500 2300</t>
  </si>
  <si>
    <t>1322500260</t>
  </si>
  <si>
    <t>Purmo Compact 22 500 2600</t>
  </si>
  <si>
    <t>1322500300</t>
  </si>
  <si>
    <t>Purmo Compact 22 500 3000</t>
  </si>
  <si>
    <t>1322550040</t>
  </si>
  <si>
    <t>Purmo Compact 22 550   400</t>
  </si>
  <si>
    <t>1322550050</t>
  </si>
  <si>
    <t>Purmo Compact 22 550   500</t>
  </si>
  <si>
    <t>1322550060</t>
  </si>
  <si>
    <t>Purmo Compact 22 550   600</t>
  </si>
  <si>
    <t>1322550070</t>
  </si>
  <si>
    <t>Purmo Compact 22 550   700</t>
  </si>
  <si>
    <t>1322550080</t>
  </si>
  <si>
    <t>Purmo Compact 22 550   800</t>
  </si>
  <si>
    <t>1322550090</t>
  </si>
  <si>
    <t>Purmo Compact 22 550   900</t>
  </si>
  <si>
    <t>1322550100</t>
  </si>
  <si>
    <t>Purmo Compact 22 550 1000</t>
  </si>
  <si>
    <t>1322550110</t>
  </si>
  <si>
    <t>Purmo Compact 22 550 1100</t>
  </si>
  <si>
    <t>1322550120</t>
  </si>
  <si>
    <t>Purmo Compact 22 550 1200</t>
  </si>
  <si>
    <t>1322550140</t>
  </si>
  <si>
    <t>Purmo Compact 22 550 1400</t>
  </si>
  <si>
    <t>1322550160</t>
  </si>
  <si>
    <t>Purmo Compact 22 550 1600</t>
  </si>
  <si>
    <t>1322550180</t>
  </si>
  <si>
    <t>Purmo Compact 22 550 1800</t>
  </si>
  <si>
    <t>1322550200</t>
  </si>
  <si>
    <t>Purmo Compact 22 550 2000</t>
  </si>
  <si>
    <t>1322550230</t>
  </si>
  <si>
    <t>Purmo Compact 22 550 2300</t>
  </si>
  <si>
    <t>1322550260</t>
  </si>
  <si>
    <t>Purmo Compact 22 550 2600</t>
  </si>
  <si>
    <t>1322550300</t>
  </si>
  <si>
    <t>Purmo Compact 22 550 3000</t>
  </si>
  <si>
    <t>1322600040</t>
  </si>
  <si>
    <t>Purmo Compact 22 600   400</t>
  </si>
  <si>
    <t>1322600050</t>
  </si>
  <si>
    <t>Purmo Compact 22 600   500</t>
  </si>
  <si>
    <t>1322600060</t>
  </si>
  <si>
    <t>Purmo Compact 22 600   600</t>
  </si>
  <si>
    <t>1322600070</t>
  </si>
  <si>
    <t>Purmo Compact 22 600   700</t>
  </si>
  <si>
    <t>1322600080</t>
  </si>
  <si>
    <t>Purmo Compact 22 600   800</t>
  </si>
  <si>
    <t>1322600090</t>
  </si>
  <si>
    <t>Purmo Compact 22 600   900</t>
  </si>
  <si>
    <t>1322600100</t>
  </si>
  <si>
    <t>Purmo Compact 22 600 1000</t>
  </si>
  <si>
    <t>1322600110</t>
  </si>
  <si>
    <t>Purmo Compact 22 600 1100</t>
  </si>
  <si>
    <t>1322600120</t>
  </si>
  <si>
    <t>Purmo Compact 22 600 1200</t>
  </si>
  <si>
    <t>1322600140</t>
  </si>
  <si>
    <t>Purmo Compact 22 600 1400</t>
  </si>
  <si>
    <t>1322600160</t>
  </si>
  <si>
    <t>Purmo Compact 22 600 1600</t>
  </si>
  <si>
    <t>1322600180</t>
  </si>
  <si>
    <t>Purmo Compact 22 600 1800</t>
  </si>
  <si>
    <t>1322600200</t>
  </si>
  <si>
    <t>Purmo Compact 22 600 2000</t>
  </si>
  <si>
    <t>1322600230</t>
  </si>
  <si>
    <t>Purmo Compact 22 600 2300</t>
  </si>
  <si>
    <t>1322600260</t>
  </si>
  <si>
    <t>Purmo Compact 22 600 2600</t>
  </si>
  <si>
    <t>1322600300</t>
  </si>
  <si>
    <t>Purmo Compact 22 600 3000</t>
  </si>
  <si>
    <t>1322900040</t>
  </si>
  <si>
    <t>Purmo Compact 22 900   400</t>
  </si>
  <si>
    <t>1322900050</t>
  </si>
  <si>
    <t>Purmo Compact 22 900   500</t>
  </si>
  <si>
    <t>1322900060</t>
  </si>
  <si>
    <t>Purmo Compact 22 900   600</t>
  </si>
  <si>
    <t>1322900070</t>
  </si>
  <si>
    <t>Purmo Compact 22 900   700</t>
  </si>
  <si>
    <t>1322900080</t>
  </si>
  <si>
    <t>Purmo Compact 22 900   800</t>
  </si>
  <si>
    <t>1322900090</t>
  </si>
  <si>
    <t>Purmo Compact 22 900   900</t>
  </si>
  <si>
    <t>1322900100</t>
  </si>
  <si>
    <t>Purmo Compact 22 900 1000</t>
  </si>
  <si>
    <t>1322900110</t>
  </si>
  <si>
    <t>Purmo Compact 22 900 1100</t>
  </si>
  <si>
    <t>1322900120</t>
  </si>
  <si>
    <t>Purmo Compact 22 900 1200</t>
  </si>
  <si>
    <t>1322900140</t>
  </si>
  <si>
    <t>Purmo Compact 22 900 1400</t>
  </si>
  <si>
    <t>1322900160</t>
  </si>
  <si>
    <t>Purmo Compact 22 900 1600</t>
  </si>
  <si>
    <t>1322900180</t>
  </si>
  <si>
    <t>Purmo Compact 22 900 1800</t>
  </si>
  <si>
    <t>1322900200</t>
  </si>
  <si>
    <t>Purmo Compact 22 900 2000</t>
  </si>
  <si>
    <t>1322900230</t>
  </si>
  <si>
    <t>Purmo Compact 22 900 2300</t>
  </si>
  <si>
    <t>1322900260</t>
  </si>
  <si>
    <t>Purmo Compact 22 900 2600</t>
  </si>
  <si>
    <t>1322900300</t>
  </si>
  <si>
    <t>Purmo Compact 22 900 3000</t>
  </si>
  <si>
    <t>1333300040</t>
  </si>
  <si>
    <t>Purmo Compact 33 300   400</t>
  </si>
  <si>
    <t>1333300050</t>
  </si>
  <si>
    <t>Purmo Compact 33 300   500</t>
  </si>
  <si>
    <t>1333300060</t>
  </si>
  <si>
    <t>Purmo Compact 33 300   600</t>
  </si>
  <si>
    <t>1333300070</t>
  </si>
  <si>
    <t>Purmo Compact 33 300   700</t>
  </si>
  <si>
    <t>1333300080</t>
  </si>
  <si>
    <t>Purmo Compact 33 300   800</t>
  </si>
  <si>
    <t>1333300090</t>
  </si>
  <si>
    <t>Purmo Compact 33 300   900</t>
  </si>
  <si>
    <t>1333300100</t>
  </si>
  <si>
    <t>Purmo Compact 33 300 1000</t>
  </si>
  <si>
    <t>1333300110</t>
  </si>
  <si>
    <t>Purmo Compact 33 300 1100</t>
  </si>
  <si>
    <t>1333300120</t>
  </si>
  <si>
    <t>Purmo Compact 33 300 1200</t>
  </si>
  <si>
    <t>1333300140</t>
  </si>
  <si>
    <t>Purmo Compact 33 300 1400</t>
  </si>
  <si>
    <t>1333300160</t>
  </si>
  <si>
    <t>Purmo Compact 33 300 1600</t>
  </si>
  <si>
    <t>1333300180</t>
  </si>
  <si>
    <t>Purmo Compact 33 300 1800</t>
  </si>
  <si>
    <t>1333300200</t>
  </si>
  <si>
    <t>Purmo Compact 33 300 2000</t>
  </si>
  <si>
    <t>1333300230</t>
  </si>
  <si>
    <t>Purmo Compact 33 300 2300</t>
  </si>
  <si>
    <t>1333300260</t>
  </si>
  <si>
    <t>Purmo Compact 33 300 2600</t>
  </si>
  <si>
    <t>1333300300</t>
  </si>
  <si>
    <t>Purmo Compact 33 300 3000</t>
  </si>
  <si>
    <t>1333400040</t>
  </si>
  <si>
    <t>Purmo Compact 33 400   400</t>
  </si>
  <si>
    <t>1333400050</t>
  </si>
  <si>
    <t>Purmo Compact 33 400   500</t>
  </si>
  <si>
    <t>1333400060</t>
  </si>
  <si>
    <t>Purmo Compact 33 400   600</t>
  </si>
  <si>
    <t>1333400070</t>
  </si>
  <si>
    <t>Purmo Compact 33 400   700</t>
  </si>
  <si>
    <t>1333400080</t>
  </si>
  <si>
    <t>Purmo Compact 33 400   800</t>
  </si>
  <si>
    <t>1333400090</t>
  </si>
  <si>
    <t>Purmo Compact 33 400   900</t>
  </si>
  <si>
    <t>1333400100</t>
  </si>
  <si>
    <t>Purmo Compact 33 400 1000</t>
  </si>
  <si>
    <t>1333400110</t>
  </si>
  <si>
    <t>Purmo Compact 33 400 1100</t>
  </si>
  <si>
    <t>1333400120</t>
  </si>
  <si>
    <t>Purmo Compact 33 400 1200</t>
  </si>
  <si>
    <t>1333400140</t>
  </si>
  <si>
    <t>Purmo Compact 33 400 1400</t>
  </si>
  <si>
    <t>1333400160</t>
  </si>
  <si>
    <t>Purmo Compact 33 400 1600</t>
  </si>
  <si>
    <t>1333400180</t>
  </si>
  <si>
    <t>Purmo Compact 33 400 1800</t>
  </si>
  <si>
    <t>1333400200</t>
  </si>
  <si>
    <t>Purmo Compact 33 400 2000</t>
  </si>
  <si>
    <t>1333400230</t>
  </si>
  <si>
    <t>Purmo Compact 33 400 2300</t>
  </si>
  <si>
    <t>1333400260</t>
  </si>
  <si>
    <t>Purmo Compact 33 400 2600</t>
  </si>
  <si>
    <t>1333400300</t>
  </si>
  <si>
    <t>Purmo Compact 33 400 3000</t>
  </si>
  <si>
    <t>1333450040</t>
  </si>
  <si>
    <t>Purmo Compact 33 450   400</t>
  </si>
  <si>
    <t>1333450050</t>
  </si>
  <si>
    <t>Purmo Compact 33 450   500</t>
  </si>
  <si>
    <t>1333450060</t>
  </si>
  <si>
    <t>Purmo Compact 33 450   600</t>
  </si>
  <si>
    <t>1333450070</t>
  </si>
  <si>
    <t>Purmo Compact 33 450   700</t>
  </si>
  <si>
    <t>1333450080</t>
  </si>
  <si>
    <t>Purmo Compact 33 450   800</t>
  </si>
  <si>
    <t>1333450090</t>
  </si>
  <si>
    <t>Purmo Compact 33 450   900</t>
  </si>
  <si>
    <t>1333450100</t>
  </si>
  <si>
    <t>Purmo Compact 33 450 1000</t>
  </si>
  <si>
    <t>1333450110</t>
  </si>
  <si>
    <t>Purmo Compact 33 450 1100</t>
  </si>
  <si>
    <t>1333450120</t>
  </si>
  <si>
    <t>Purmo Compact 33 450 1200</t>
  </si>
  <si>
    <t>1333450140</t>
  </si>
  <si>
    <t>Purmo Compact 33 450 1400</t>
  </si>
  <si>
    <t>1333450160</t>
  </si>
  <si>
    <t>Purmo Compact 33 450 1600</t>
  </si>
  <si>
    <t>1333450180</t>
  </si>
  <si>
    <t>Purmo Compact 33 450 1800</t>
  </si>
  <si>
    <t>1333450200</t>
  </si>
  <si>
    <t>Purmo Compact 33 450 2000</t>
  </si>
  <si>
    <t>1333450230</t>
  </si>
  <si>
    <t>Purmo Compact 33 450 2300</t>
  </si>
  <si>
    <t>1333450260</t>
  </si>
  <si>
    <t>Purmo Compact 33 450 2600</t>
  </si>
  <si>
    <t>1333450300</t>
  </si>
  <si>
    <t>Purmo Compact 33 450 3000</t>
  </si>
  <si>
    <t>1333500040</t>
  </si>
  <si>
    <t>Purmo Compact 33 500   400</t>
  </si>
  <si>
    <t>1333500050</t>
  </si>
  <si>
    <t>Purmo Compact 33 500   500</t>
  </si>
  <si>
    <t>1333500060</t>
  </si>
  <si>
    <t>Purmo Compact 33 500   600</t>
  </si>
  <si>
    <t>1333500070</t>
  </si>
  <si>
    <t>Purmo Compact 33 500   700</t>
  </si>
  <si>
    <t>1333500080</t>
  </si>
  <si>
    <t>Purmo Compact 33 500   800</t>
  </si>
  <si>
    <t>1333500090</t>
  </si>
  <si>
    <t>Purmo Compact 33 500   900</t>
  </si>
  <si>
    <t>1333500100</t>
  </si>
  <si>
    <t>Purmo Compact 33 500 1000</t>
  </si>
  <si>
    <t>1333500110</t>
  </si>
  <si>
    <t>Purmo Compact 33 500 1100</t>
  </si>
  <si>
    <t>1333500120</t>
  </si>
  <si>
    <t>Purmo Compact 33 500 1200</t>
  </si>
  <si>
    <t>1333500140</t>
  </si>
  <si>
    <t>Purmo Compact 33 500 1400</t>
  </si>
  <si>
    <t>1333500160</t>
  </si>
  <si>
    <t>Purmo Compact 33 500 1600</t>
  </si>
  <si>
    <t>1333500180</t>
  </si>
  <si>
    <t>Purmo Compact 33 500 1800</t>
  </si>
  <si>
    <t>1333500200</t>
  </si>
  <si>
    <t>Purmo Compact 33 500 2000</t>
  </si>
  <si>
    <t>1333500230</t>
  </si>
  <si>
    <t>Purmo Compact 33 500 2300</t>
  </si>
  <si>
    <t>1333500260</t>
  </si>
  <si>
    <t>Purmo Compact 33 500 2600</t>
  </si>
  <si>
    <t>1333500300</t>
  </si>
  <si>
    <t>Purmo Compact 33 500 3000</t>
  </si>
  <si>
    <t>1333550040</t>
  </si>
  <si>
    <t>Purmo Compact 33 550   400</t>
  </si>
  <si>
    <t>1333550050</t>
  </si>
  <si>
    <t>Purmo Compact 33 550   500</t>
  </si>
  <si>
    <t>1333550060</t>
  </si>
  <si>
    <t>Purmo Compact 33 550   600</t>
  </si>
  <si>
    <t>1333550070</t>
  </si>
  <si>
    <t>Purmo Compact 33 550   700</t>
  </si>
  <si>
    <t>1333550080</t>
  </si>
  <si>
    <t>Purmo Compact 33 550   800</t>
  </si>
  <si>
    <t>1333550090</t>
  </si>
  <si>
    <t>Purmo Compact 33 550   900</t>
  </si>
  <si>
    <t>1333550100</t>
  </si>
  <si>
    <t>Purmo Compact 33 550 1000</t>
  </si>
  <si>
    <t>1333550110</t>
  </si>
  <si>
    <t>Purmo Compact 33 550 1100</t>
  </si>
  <si>
    <t>1333550120</t>
  </si>
  <si>
    <t>Purmo Compact 33 550 1200</t>
  </si>
  <si>
    <t>1333550140</t>
  </si>
  <si>
    <t>Purmo Compact 33 550 1400</t>
  </si>
  <si>
    <t>1333550160</t>
  </si>
  <si>
    <t>Purmo Compact 33 550 1600</t>
  </si>
  <si>
    <t>1333550180</t>
  </si>
  <si>
    <t>Purmo Compact 33 550 1800</t>
  </si>
  <si>
    <t>1333550200</t>
  </si>
  <si>
    <t>Purmo Compact 33 550 2000</t>
  </si>
  <si>
    <t>1333550230</t>
  </si>
  <si>
    <t>Purmo Compact 33 550 2300</t>
  </si>
  <si>
    <t>1333550260</t>
  </si>
  <si>
    <t>Purmo Compact 33 550 2600</t>
  </si>
  <si>
    <t>1333550300</t>
  </si>
  <si>
    <t>Purmo Compact 33 550 3000</t>
  </si>
  <si>
    <t>1333600040</t>
  </si>
  <si>
    <t>Purmo Compact 33 600   400</t>
  </si>
  <si>
    <t>1333600050</t>
  </si>
  <si>
    <t>Purmo Compact 33 600   500</t>
  </si>
  <si>
    <t>1333600060</t>
  </si>
  <si>
    <t>Purmo Compact 33 600   600</t>
  </si>
  <si>
    <t>1333600070</t>
  </si>
  <si>
    <t>Purmo Compact 33 600   700</t>
  </si>
  <si>
    <t>1333600080</t>
  </si>
  <si>
    <t>Purmo Compact 33 600   800</t>
  </si>
  <si>
    <t>1333600090</t>
  </si>
  <si>
    <t>Purmo Compact 33 600   900</t>
  </si>
  <si>
    <t>1333600100</t>
  </si>
  <si>
    <t>Purmo Compact 33 600 1000</t>
  </si>
  <si>
    <t>1333600110</t>
  </si>
  <si>
    <t>Purmo Compact 33 600 1100</t>
  </si>
  <si>
    <t>1333600120</t>
  </si>
  <si>
    <t>Purmo Compact 33 600 1200</t>
  </si>
  <si>
    <t>1333600140</t>
  </si>
  <si>
    <t>Purmo Compact 33 600 1400</t>
  </si>
  <si>
    <t>1333600160</t>
  </si>
  <si>
    <t>Purmo Compact 33 600 1600</t>
  </si>
  <si>
    <t>1333600180</t>
  </si>
  <si>
    <t>Purmo Compact 33 600 1800</t>
  </si>
  <si>
    <t>1333600200</t>
  </si>
  <si>
    <t>Purmo Compact 33 600 2000</t>
  </si>
  <si>
    <t>1333600230</t>
  </si>
  <si>
    <t>Purmo Compact 33 600 2300</t>
  </si>
  <si>
    <t>1333600260</t>
  </si>
  <si>
    <t>Purmo Compact 33 600 2600</t>
  </si>
  <si>
    <t>1333600300</t>
  </si>
  <si>
    <t>Purmo Compact 33 600 3000</t>
  </si>
  <si>
    <t>1333900040</t>
  </si>
  <si>
    <t>Purmo Compact 33 900   400</t>
  </si>
  <si>
    <t>1333900050</t>
  </si>
  <si>
    <t>Purmo Compact 33 900   500</t>
  </si>
  <si>
    <t>1333900060</t>
  </si>
  <si>
    <t>Purmo Compact 33 900   600</t>
  </si>
  <si>
    <t>1333900070</t>
  </si>
  <si>
    <t>Purmo Compact 33 900   700</t>
  </si>
  <si>
    <t>1333900080</t>
  </si>
  <si>
    <t>Purmo Compact 33 900   800</t>
  </si>
  <si>
    <t>1333900090</t>
  </si>
  <si>
    <t>Purmo Compact 33 900   900</t>
  </si>
  <si>
    <t>1333900100</t>
  </si>
  <si>
    <t>Purmo Compact 33 900 1000</t>
  </si>
  <si>
    <t>1333900110</t>
  </si>
  <si>
    <t>Purmo Compact 33 900 1100</t>
  </si>
  <si>
    <t>1333900120</t>
  </si>
  <si>
    <t>Purmo Compact 33 900 1200</t>
  </si>
  <si>
    <t>1333900140</t>
  </si>
  <si>
    <t>Purmo Compact 33 900 1400</t>
  </si>
  <si>
    <t>1333900160</t>
  </si>
  <si>
    <t>Purmo Compact 33 900 1600</t>
  </si>
  <si>
    <t>1333900180</t>
  </si>
  <si>
    <t>Purmo Compact 33 900 1800</t>
  </si>
  <si>
    <t>1333900200</t>
  </si>
  <si>
    <t>Purmo Compact 33 900 2000</t>
  </si>
  <si>
    <t>1333900230</t>
  </si>
  <si>
    <t>Purmo Compact 33 900 2300</t>
  </si>
  <si>
    <t>1333900260</t>
  </si>
  <si>
    <t>Purmo Compact 33 900 2600</t>
  </si>
  <si>
    <t>1333900300</t>
  </si>
  <si>
    <t>Purmo Compact 33 900 3000</t>
  </si>
  <si>
    <t>3411300040</t>
  </si>
  <si>
    <t>Purmo CV 11 300   400</t>
  </si>
  <si>
    <t>3411300050</t>
  </si>
  <si>
    <t>Purmo CV 11 300   500</t>
  </si>
  <si>
    <t>3411300060</t>
  </si>
  <si>
    <t>Purmo CV 11 300   600</t>
  </si>
  <si>
    <t>3411300070</t>
  </si>
  <si>
    <t>Purmo CV 11 300   700</t>
  </si>
  <si>
    <t>3411300080</t>
  </si>
  <si>
    <t>Purmo CV 11 300   800</t>
  </si>
  <si>
    <t>3411300090</t>
  </si>
  <si>
    <t>Purmo CV 11 300   900</t>
  </si>
  <si>
    <t>3411300100</t>
  </si>
  <si>
    <t>Purmo CV 11 300 1000</t>
  </si>
  <si>
    <t>3411300110</t>
  </si>
  <si>
    <t>Purmo CV 11 300 1100</t>
  </si>
  <si>
    <t>3411300120</t>
  </si>
  <si>
    <t>Purmo CV 11 300 1200</t>
  </si>
  <si>
    <t>3411300140</t>
  </si>
  <si>
    <t>Purmo CV 11 300 1400</t>
  </si>
  <si>
    <t>3411300160</t>
  </si>
  <si>
    <t>Purmo CV 11 300 1600</t>
  </si>
  <si>
    <t>3411300180</t>
  </si>
  <si>
    <t>Purmo CV 11 300 1800</t>
  </si>
  <si>
    <t>3411300200</t>
  </si>
  <si>
    <t>Purmo CV 11 300 2000</t>
  </si>
  <si>
    <t>3411300230</t>
  </si>
  <si>
    <t>Purmo CV 11 300 2300</t>
  </si>
  <si>
    <t>3411300260</t>
  </si>
  <si>
    <t>Purmo CV 11 300 2600</t>
  </si>
  <si>
    <t>3411300300</t>
  </si>
  <si>
    <t>Purmo CV 11 300 3000</t>
  </si>
  <si>
    <t>3411400040</t>
  </si>
  <si>
    <t>Purmo CV 11 400   400</t>
  </si>
  <si>
    <t>3411400050</t>
  </si>
  <si>
    <t>Purmo CV 11 400   500</t>
  </si>
  <si>
    <t>3411400060</t>
  </si>
  <si>
    <t>Purmo CV 11 400   600</t>
  </si>
  <si>
    <t>3411400070</t>
  </si>
  <si>
    <t>Purmo CV 11 400   700</t>
  </si>
  <si>
    <t>3411400080</t>
  </si>
  <si>
    <t>Purmo CV 11 400   800</t>
  </si>
  <si>
    <t>3411400090</t>
  </si>
  <si>
    <t>Purmo CV 11 400   900</t>
  </si>
  <si>
    <t>3411400100</t>
  </si>
  <si>
    <t>Purmo CV 11 400 1000</t>
  </si>
  <si>
    <t>3411400110</t>
  </si>
  <si>
    <t>Purmo CV 11 400 1100</t>
  </si>
  <si>
    <t>3411400120</t>
  </si>
  <si>
    <t>Purmo CV 11 400 1200</t>
  </si>
  <si>
    <t>3411400140</t>
  </si>
  <si>
    <t>Purmo CV 11 400 1400</t>
  </si>
  <si>
    <t>3411400160</t>
  </si>
  <si>
    <t>Purmo CV 11 400 1600</t>
  </si>
  <si>
    <t>3411400180</t>
  </si>
  <si>
    <t>Purmo CV 11 400 1800</t>
  </si>
  <si>
    <t>3411400200</t>
  </si>
  <si>
    <t>Purmo CV 11 400 2000</t>
  </si>
  <si>
    <t>3411400230</t>
  </si>
  <si>
    <t>Purmo CV 11 400 2300</t>
  </si>
  <si>
    <t>3411400260</t>
  </si>
  <si>
    <t>Purmo CV 11 400 2600</t>
  </si>
  <si>
    <t>3411400300</t>
  </si>
  <si>
    <t>Purmo CV 11 400 3000</t>
  </si>
  <si>
    <t>3411450040</t>
  </si>
  <si>
    <t>Purmo CV 11 450   400</t>
  </si>
  <si>
    <t>3411450050</t>
  </si>
  <si>
    <t>Purmo CV 11 450   500</t>
  </si>
  <si>
    <t>3411450060</t>
  </si>
  <si>
    <t>Purmo CV 11 450   600</t>
  </si>
  <si>
    <t>3411450070</t>
  </si>
  <si>
    <t>Purmo CV 11 450   700</t>
  </si>
  <si>
    <t>3411450080</t>
  </si>
  <si>
    <t>Purmo CV 11 450   800</t>
  </si>
  <si>
    <t>3411450090</t>
  </si>
  <si>
    <t>Purmo CV 11 450   900</t>
  </si>
  <si>
    <t>3411450100</t>
  </si>
  <si>
    <t>Purmo CV 11 450 1000</t>
  </si>
  <si>
    <t>3411450110</t>
  </si>
  <si>
    <t>Purmo CV 11 450 1100</t>
  </si>
  <si>
    <t>3411450120</t>
  </si>
  <si>
    <t>Purmo CV 11 450 1200</t>
  </si>
  <si>
    <t>3411450140</t>
  </si>
  <si>
    <t>Purmo CV 11 450 1400</t>
  </si>
  <si>
    <t>3411450160</t>
  </si>
  <si>
    <t>Purmo CV 11 450 1600</t>
  </si>
  <si>
    <t>3411450180</t>
  </si>
  <si>
    <t>Purmo CV 11 450 1800</t>
  </si>
  <si>
    <t>3411450200</t>
  </si>
  <si>
    <t>Purmo CV 11 450 2000</t>
  </si>
  <si>
    <t>3411450230</t>
  </si>
  <si>
    <t>Purmo CV 11 450 2300</t>
  </si>
  <si>
    <t>3411450260</t>
  </si>
  <si>
    <t>Purmo CV 11 450 2600</t>
  </si>
  <si>
    <t>3411450300</t>
  </si>
  <si>
    <t>Purmo CV 11 450 3000</t>
  </si>
  <si>
    <t>3411500040</t>
  </si>
  <si>
    <t>Purmo CV 11 500   400</t>
  </si>
  <si>
    <t>3411500050</t>
  </si>
  <si>
    <t>Purmo CV 11 500   500</t>
  </si>
  <si>
    <t>3411500060</t>
  </si>
  <si>
    <t>Purmo CV 11 500   600</t>
  </si>
  <si>
    <t>3411500070</t>
  </si>
  <si>
    <t>Purmo CV 11 500   700</t>
  </si>
  <si>
    <t>3411500080</t>
  </si>
  <si>
    <t>Purmo CV 11 500   800</t>
  </si>
  <si>
    <t>3411500090</t>
  </si>
  <si>
    <t>Purmo CV 11 500   900</t>
  </si>
  <si>
    <t>3411500100</t>
  </si>
  <si>
    <t>Purmo CV 11 500 1000</t>
  </si>
  <si>
    <t>3411500110</t>
  </si>
  <si>
    <t>Purmo CV 11 500 1100</t>
  </si>
  <si>
    <t>3411500120</t>
  </si>
  <si>
    <t>Purmo CV 11 500 1200</t>
  </si>
  <si>
    <t>3411500140</t>
  </si>
  <si>
    <t>Purmo CV 11 500 1400</t>
  </si>
  <si>
    <t>3411500160</t>
  </si>
  <si>
    <t>Purmo CV 11 500 1600</t>
  </si>
  <si>
    <t>3411500180</t>
  </si>
  <si>
    <t>Purmo CV 11 500 1800</t>
  </si>
  <si>
    <t>3411500200</t>
  </si>
  <si>
    <t>Purmo CV 11 500 2000</t>
  </si>
  <si>
    <t>3411500230</t>
  </si>
  <si>
    <t>Purmo CV 11 500 2300</t>
  </si>
  <si>
    <t>3411500260</t>
  </si>
  <si>
    <t>Purmo CV 11 500 2600</t>
  </si>
  <si>
    <t>3411500300</t>
  </si>
  <si>
    <t>Purmo CV 11 500 3000</t>
  </si>
  <si>
    <t>3411600040</t>
  </si>
  <si>
    <t>Purmo CV 11 600   400</t>
  </si>
  <si>
    <t>3411600050</t>
  </si>
  <si>
    <t>Purmo CV 11 600   500</t>
  </si>
  <si>
    <t>3411600060</t>
  </si>
  <si>
    <t>Purmo CV 11 600   600</t>
  </si>
  <si>
    <t>3411600070</t>
  </si>
  <si>
    <t>Purmo CV 11 600   700</t>
  </si>
  <si>
    <t>3411600080</t>
  </si>
  <si>
    <t>Purmo CV 11 600   800</t>
  </si>
  <si>
    <t>3411600090</t>
  </si>
  <si>
    <t>Purmo CV 11 600   900</t>
  </si>
  <si>
    <t>3411600100</t>
  </si>
  <si>
    <t>Purmo CV 11 600 1000</t>
  </si>
  <si>
    <t>3411600110</t>
  </si>
  <si>
    <t>Purmo CV 11 600 1100</t>
  </si>
  <si>
    <t>3411600120</t>
  </si>
  <si>
    <t>Purmo CV 11 600 1200</t>
  </si>
  <si>
    <t>3411600140</t>
  </si>
  <si>
    <t>Purmo CV 11 600 1400</t>
  </si>
  <si>
    <t>3411600160</t>
  </si>
  <si>
    <t>Purmo CV 11 600 1600</t>
  </si>
  <si>
    <t>3411600180</t>
  </si>
  <si>
    <t>Purmo CV 11 600 1800</t>
  </si>
  <si>
    <t>3411600200</t>
  </si>
  <si>
    <t>Purmo CV 11 600 2000</t>
  </si>
  <si>
    <t>3411600230</t>
  </si>
  <si>
    <t>Purmo CV 11 600 2300</t>
  </si>
  <si>
    <t>3411600260</t>
  </si>
  <si>
    <t>Purmo CV 11 600 2600</t>
  </si>
  <si>
    <t>3411600300</t>
  </si>
  <si>
    <t>Purmo CV 11 600 3000</t>
  </si>
  <si>
    <t>3411900040</t>
  </si>
  <si>
    <t>Purmo CV 11 900   400</t>
  </si>
  <si>
    <t>3411900050</t>
  </si>
  <si>
    <t>Purmo CV 11 900   500</t>
  </si>
  <si>
    <t>3411900060</t>
  </si>
  <si>
    <t>Purmo CV 11 900   600</t>
  </si>
  <si>
    <t>3411900070</t>
  </si>
  <si>
    <t>Purmo CV 11 900   700</t>
  </si>
  <si>
    <t>3411900080</t>
  </si>
  <si>
    <t>Purmo CV 11 900   800</t>
  </si>
  <si>
    <t>3411900090</t>
  </si>
  <si>
    <t>Purmo CV 11 900   900</t>
  </si>
  <si>
    <t>3411900100</t>
  </si>
  <si>
    <t>Purmo CV 11 900 1000</t>
  </si>
  <si>
    <t>3411900110</t>
  </si>
  <si>
    <t>Purmo CV 11 900 1100</t>
  </si>
  <si>
    <t>3411900120</t>
  </si>
  <si>
    <t>Purmo CV 11 900 1200</t>
  </si>
  <si>
    <t>3411900140</t>
  </si>
  <si>
    <t>Purmo CV 11 900 1400</t>
  </si>
  <si>
    <t>3411900160</t>
  </si>
  <si>
    <t>Purmo CV 11 900 1600</t>
  </si>
  <si>
    <t>3411900180</t>
  </si>
  <si>
    <t>Purmo CV 11 900 1800</t>
  </si>
  <si>
    <t>3411900200</t>
  </si>
  <si>
    <t>Purmo CV 11 900 2000</t>
  </si>
  <si>
    <t>3411900230</t>
  </si>
  <si>
    <t>Purmo CV 11 900 2300</t>
  </si>
  <si>
    <t>3411900260</t>
  </si>
  <si>
    <t>Purmo CV 11 900 2600</t>
  </si>
  <si>
    <t>3411900300</t>
  </si>
  <si>
    <t>Purmo CV 11 900 3000</t>
  </si>
  <si>
    <t>3421200060</t>
  </si>
  <si>
    <t>Purmo CV 21 200   600</t>
  </si>
  <si>
    <t>3421200070</t>
  </si>
  <si>
    <t>Purmo CV 21 200   700</t>
  </si>
  <si>
    <t>3421200080</t>
  </si>
  <si>
    <t>Purmo CV 21 200   800</t>
  </si>
  <si>
    <t>3421200090</t>
  </si>
  <si>
    <t>Purmo CV 21 200   900</t>
  </si>
  <si>
    <t>3421200100</t>
  </si>
  <si>
    <t>Purmo CV 21 200 1000</t>
  </si>
  <si>
    <t>3421200110</t>
  </si>
  <si>
    <t>Purmo CV 21 200 1100</t>
  </si>
  <si>
    <t>3421200120</t>
  </si>
  <si>
    <t>Purmo CV 21 200 1200</t>
  </si>
  <si>
    <t>3421200140</t>
  </si>
  <si>
    <t>Purmo CV 21 200 1400</t>
  </si>
  <si>
    <t>3421200160</t>
  </si>
  <si>
    <t>Purmo CV 21 200 1600</t>
  </si>
  <si>
    <t>3421200180</t>
  </si>
  <si>
    <t>Purmo CV 21 200 1800</t>
  </si>
  <si>
    <t>3421200200</t>
  </si>
  <si>
    <t>Purmo CV 21 200 2000</t>
  </si>
  <si>
    <t>3421200230</t>
  </si>
  <si>
    <t>Purmo CV 21 200 2300</t>
  </si>
  <si>
    <t>3421200260</t>
  </si>
  <si>
    <t>Purmo CV 21 200 2600</t>
  </si>
  <si>
    <t>3421200300</t>
  </si>
  <si>
    <t>Purmo CV 21 200 3000</t>
  </si>
  <si>
    <t>3421300040</t>
  </si>
  <si>
    <t>Purmo CV 21 300   400</t>
  </si>
  <si>
    <t>3421300050</t>
  </si>
  <si>
    <t>Purmo CV 21 300   500</t>
  </si>
  <si>
    <t>3421300060</t>
  </si>
  <si>
    <t>Purmo CV 21 300   600</t>
  </si>
  <si>
    <t>3421300070</t>
  </si>
  <si>
    <t>Purmo CV 21 300   700</t>
  </si>
  <si>
    <t>3421300080</t>
  </si>
  <si>
    <t>Purmo CV 21 300   800</t>
  </si>
  <si>
    <t>3421300090</t>
  </si>
  <si>
    <t>Purmo CV 21 300   900</t>
  </si>
  <si>
    <t>3421300100</t>
  </si>
  <si>
    <t>Purmo CV 21 300 1000</t>
  </si>
  <si>
    <t>3421300110</t>
  </si>
  <si>
    <t>Purmo CV 21 300 1100</t>
  </si>
  <si>
    <t>3421300120</t>
  </si>
  <si>
    <t>Purmo CV 21 300 1200</t>
  </si>
  <si>
    <t>3421300140</t>
  </si>
  <si>
    <t>Purmo CV 21 300 1400</t>
  </si>
  <si>
    <t>3421300160</t>
  </si>
  <si>
    <t>Purmo CV 21 300 1600</t>
  </si>
  <si>
    <t>3421300180</t>
  </si>
  <si>
    <t>Purmo CV 21 300 1800</t>
  </si>
  <si>
    <t>3421300200</t>
  </si>
  <si>
    <t>Purmo CV 21 300 2000</t>
  </si>
  <si>
    <t>3421300230</t>
  </si>
  <si>
    <t>Purmo CV 21 300 2300</t>
  </si>
  <si>
    <t>3421300260</t>
  </si>
  <si>
    <t>Purmo CV 21 300 2600</t>
  </si>
  <si>
    <t>3421300300</t>
  </si>
  <si>
    <t>Purmo CV 21 300 3000</t>
  </si>
  <si>
    <t>3421400040</t>
  </si>
  <si>
    <t>Purmo CV 21 400   400</t>
  </si>
  <si>
    <t>3421400050</t>
  </si>
  <si>
    <t>Purmo CV 21 400   500</t>
  </si>
  <si>
    <t>3421400060</t>
  </si>
  <si>
    <t>Purmo CV 21 400   600</t>
  </si>
  <si>
    <t>3421400070</t>
  </si>
  <si>
    <t>Purmo CV 21 400   700</t>
  </si>
  <si>
    <t>3421400080</t>
  </si>
  <si>
    <t>Purmo CV 21 400   800</t>
  </si>
  <si>
    <t>3421400090</t>
  </si>
  <si>
    <t>Purmo CV 21 400   900</t>
  </si>
  <si>
    <t>3421400100</t>
  </si>
  <si>
    <t>Purmo CV 21 400 1000</t>
  </si>
  <si>
    <t>3421400110</t>
  </si>
  <si>
    <t>Purmo CV 21 400 1100</t>
  </si>
  <si>
    <t>3421400120</t>
  </si>
  <si>
    <t>Purmo CV 21 400 1200</t>
  </si>
  <si>
    <t>3421400140</t>
  </si>
  <si>
    <t>Purmo CV 21 400 1400</t>
  </si>
  <si>
    <t>3421400160</t>
  </si>
  <si>
    <t>Purmo CV 21 400 1600</t>
  </si>
  <si>
    <t>3421400180</t>
  </si>
  <si>
    <t>Purmo CV 21 400 1800</t>
  </si>
  <si>
    <t>3421400200</t>
  </si>
  <si>
    <t>Purmo CV 21 400 2000</t>
  </si>
  <si>
    <t>3421400230</t>
  </si>
  <si>
    <t>Purmo CV 21 400 2300</t>
  </si>
  <si>
    <t>3421400260</t>
  </si>
  <si>
    <t>Purmo CV 21 400 2600</t>
  </si>
  <si>
    <t>3421400300</t>
  </si>
  <si>
    <t>Purmo CV 21 400 3000</t>
  </si>
  <si>
    <t>3421450040</t>
  </si>
  <si>
    <t>Purmo CV 21 450   400</t>
  </si>
  <si>
    <t>3421450050</t>
  </si>
  <si>
    <t>Purmo CV 21 450   500</t>
  </si>
  <si>
    <t>3421450060</t>
  </si>
  <si>
    <t>Purmo CV 21 450   600</t>
  </si>
  <si>
    <t>3421450070</t>
  </si>
  <si>
    <t>Purmo CV 21 450   700</t>
  </si>
  <si>
    <t>3421450080</t>
  </si>
  <si>
    <t>Purmo CV 21 450   800</t>
  </si>
  <si>
    <t>3421450090</t>
  </si>
  <si>
    <t>Purmo CV 21 450   900</t>
  </si>
  <si>
    <t>3421450100</t>
  </si>
  <si>
    <t>Purmo CV 21 450 1000</t>
  </si>
  <si>
    <t>3421450110</t>
  </si>
  <si>
    <t>Purmo CV 21 450 1100</t>
  </si>
  <si>
    <t>3421450120</t>
  </si>
  <si>
    <t>Purmo CV 21 450 1200</t>
  </si>
  <si>
    <t>3421450140</t>
  </si>
  <si>
    <t>Purmo CV 21 450 1400</t>
  </si>
  <si>
    <t>3421450160</t>
  </si>
  <si>
    <t>Purmo CV 21 450 1600</t>
  </si>
  <si>
    <t>3421450180</t>
  </si>
  <si>
    <t>Purmo CV 21 450 1800</t>
  </si>
  <si>
    <t>3421450200</t>
  </si>
  <si>
    <t>Purmo CV 21 450 2000</t>
  </si>
  <si>
    <t>3421450230</t>
  </si>
  <si>
    <t>Purmo CV 21 450 2300</t>
  </si>
  <si>
    <t>3421450260</t>
  </si>
  <si>
    <t>Purmo CV 21 450 2600</t>
  </si>
  <si>
    <t>3421450300</t>
  </si>
  <si>
    <t>Purmo CV 21 450 3000</t>
  </si>
  <si>
    <t>3421500040</t>
  </si>
  <si>
    <t>Purmo CV 21 500   400</t>
  </si>
  <si>
    <t>3421500050</t>
  </si>
  <si>
    <t>Purmo CV 21 500   500</t>
  </si>
  <si>
    <t>3421500060</t>
  </si>
  <si>
    <t>Purmo CV 21 500   600</t>
  </si>
  <si>
    <t>3421500070</t>
  </si>
  <si>
    <t>Purmo CV 21 500   700</t>
  </si>
  <si>
    <t>3421500080</t>
  </si>
  <si>
    <t>Purmo CV 21 500   800</t>
  </si>
  <si>
    <t>3421500090</t>
  </si>
  <si>
    <t>Purmo CV 21 500   900</t>
  </si>
  <si>
    <t>3421500100</t>
  </si>
  <si>
    <t>Purmo CV 21 500 1000</t>
  </si>
  <si>
    <t>3421500110</t>
  </si>
  <si>
    <t>Purmo CV 21 500 1100</t>
  </si>
  <si>
    <t>3421500120</t>
  </si>
  <si>
    <t>Purmo CV 21 500 1200</t>
  </si>
  <si>
    <t>3421500140</t>
  </si>
  <si>
    <t>Purmo CV 21 500 1400</t>
  </si>
  <si>
    <t>3421500160</t>
  </si>
  <si>
    <t>Purmo CV 21 500 1600</t>
  </si>
  <si>
    <t>3421500180</t>
  </si>
  <si>
    <t>Purmo CV 21 500 1800</t>
  </si>
  <si>
    <t>3421500200</t>
  </si>
  <si>
    <t>Purmo CV 21 500 2000</t>
  </si>
  <si>
    <t>3421500230</t>
  </si>
  <si>
    <t>Purmo CV 21 500 2300</t>
  </si>
  <si>
    <t>3421500260</t>
  </si>
  <si>
    <t>Purmo CV 21 500 2600</t>
  </si>
  <si>
    <t>3421500300</t>
  </si>
  <si>
    <t>Purmo CV 21 500 3000</t>
  </si>
  <si>
    <t>3421600040</t>
  </si>
  <si>
    <t>Purmo CV 21 600   400</t>
  </si>
  <si>
    <t>3421600050</t>
  </si>
  <si>
    <t>Purmo CV 21 600   500</t>
  </si>
  <si>
    <t>3421600060</t>
  </si>
  <si>
    <t>Purmo CV 21 600   600</t>
  </si>
  <si>
    <t>3421600070</t>
  </si>
  <si>
    <t>Purmo CV 21 600   700</t>
  </si>
  <si>
    <t>3421600080</t>
  </si>
  <si>
    <t>Purmo CV 21 600   800</t>
  </si>
  <si>
    <t>3421600090</t>
  </si>
  <si>
    <t>Purmo CV 21 600   900</t>
  </si>
  <si>
    <t>3421600100</t>
  </si>
  <si>
    <t>Purmo CV 21 600 1000</t>
  </si>
  <si>
    <t>3421600110</t>
  </si>
  <si>
    <t>Purmo CV 21 600 1100</t>
  </si>
  <si>
    <t>3421600120</t>
  </si>
  <si>
    <t>Purmo CV 21 600 1200</t>
  </si>
  <si>
    <t>3421600140</t>
  </si>
  <si>
    <t>Purmo CV 21 600 1400</t>
  </si>
  <si>
    <t>3421600160</t>
  </si>
  <si>
    <t>Purmo CV 21 600 1600</t>
  </si>
  <si>
    <t>3421600180</t>
  </si>
  <si>
    <t>Purmo CV 21 600 1800</t>
  </si>
  <si>
    <t>3421600200</t>
  </si>
  <si>
    <t>Purmo CV 21 600 2000</t>
  </si>
  <si>
    <t>3421600230</t>
  </si>
  <si>
    <t>Purmo CV 21 600 2300</t>
  </si>
  <si>
    <t>3421600260</t>
  </si>
  <si>
    <t>Purmo CV 21 600 2600</t>
  </si>
  <si>
    <t>3421600300</t>
  </si>
  <si>
    <t>Purmo CV 21 600 3000</t>
  </si>
  <si>
    <t>3421900040</t>
  </si>
  <si>
    <t>Purmo CV 21 900   400</t>
  </si>
  <si>
    <t>3421900050</t>
  </si>
  <si>
    <t>Purmo CV 21 900   500</t>
  </si>
  <si>
    <t>3421900060</t>
  </si>
  <si>
    <t>Purmo CV 21 900   600</t>
  </si>
  <si>
    <t>3421900070</t>
  </si>
  <si>
    <t>Purmo CV 21 900   700</t>
  </si>
  <si>
    <t>3421900080</t>
  </si>
  <si>
    <t>Purmo CV 21 900   800</t>
  </si>
  <si>
    <t>3421900090</t>
  </si>
  <si>
    <t>Purmo CV 21 900   900</t>
  </si>
  <si>
    <t>3421900100</t>
  </si>
  <si>
    <t>Purmo CV 21 900 1000</t>
  </si>
  <si>
    <t>3421900110</t>
  </si>
  <si>
    <t>Purmo CV 21 900 1100</t>
  </si>
  <si>
    <t>3421900120</t>
  </si>
  <si>
    <t>Purmo CV 21 900 1200</t>
  </si>
  <si>
    <t>3421900140</t>
  </si>
  <si>
    <t>Purmo CV 21 900 1400</t>
  </si>
  <si>
    <t>3421900160</t>
  </si>
  <si>
    <t>Purmo CV 21 900 1600</t>
  </si>
  <si>
    <t>3421900180</t>
  </si>
  <si>
    <t>Purmo CV 21 900 1800</t>
  </si>
  <si>
    <t>3421900200</t>
  </si>
  <si>
    <t>Purmo CV 21 900 2000</t>
  </si>
  <si>
    <t>3421900230</t>
  </si>
  <si>
    <t>Purmo CV 21 900 2300</t>
  </si>
  <si>
    <t>3421900260</t>
  </si>
  <si>
    <t>Purmo CV 21 900 2600</t>
  </si>
  <si>
    <t>3421900300</t>
  </si>
  <si>
    <t>Purmo CV 21 900 3000</t>
  </si>
  <si>
    <t>3422200060</t>
  </si>
  <si>
    <t>Purmo CV 22 200   600</t>
  </si>
  <si>
    <t>3422200070</t>
  </si>
  <si>
    <t>Purmo CV 22 200   700</t>
  </si>
  <si>
    <t>3422200080</t>
  </si>
  <si>
    <t>Purmo CV 22 200   800</t>
  </si>
  <si>
    <t>3422200090</t>
  </si>
  <si>
    <t>Purmo CV 22 200   900</t>
  </si>
  <si>
    <t>3422200100</t>
  </si>
  <si>
    <t>Purmo CV 22 200 1000</t>
  </si>
  <si>
    <t>3422200110</t>
  </si>
  <si>
    <t>Purmo CV 22 200 1100</t>
  </si>
  <si>
    <t>3422200120</t>
  </si>
  <si>
    <t>Purmo CV 22 200 1200</t>
  </si>
  <si>
    <t>3422200140</t>
  </si>
  <si>
    <t>Purmo CV 22 200 1400</t>
  </si>
  <si>
    <t>3422200160</t>
  </si>
  <si>
    <t>Purmo CV 22 200 1600</t>
  </si>
  <si>
    <t>3422200180</t>
  </si>
  <si>
    <t>Purmo CV 22 200 1800</t>
  </si>
  <si>
    <t>3422200200</t>
  </si>
  <si>
    <t>Purmo CV 22 200 2000</t>
  </si>
  <si>
    <t>3422200230</t>
  </si>
  <si>
    <t>Purmo CV 22 200 2300</t>
  </si>
  <si>
    <t>3422200260</t>
  </si>
  <si>
    <t>Purmo CV 22 200 2600</t>
  </si>
  <si>
    <t>3422200300</t>
  </si>
  <si>
    <t>Purmo CV 22 200 3000</t>
  </si>
  <si>
    <t>3422300040</t>
  </si>
  <si>
    <t>Purmo CV 22 300   400</t>
  </si>
  <si>
    <t>3422300050</t>
  </si>
  <si>
    <t>Purmo CV 22 300   500</t>
  </si>
  <si>
    <t>3422300060</t>
  </si>
  <si>
    <t>Purmo CV 22 300   600</t>
  </si>
  <si>
    <t>3422300070</t>
  </si>
  <si>
    <t>Purmo CV 22 300   700</t>
  </si>
  <si>
    <t>3422300080</t>
  </si>
  <si>
    <t>Purmo CV 22 300   800</t>
  </si>
  <si>
    <t>3422300090</t>
  </si>
  <si>
    <t>Purmo CV 22 300   900</t>
  </si>
  <si>
    <t>3422300100</t>
  </si>
  <si>
    <t>Purmo CV 22 300 1000</t>
  </si>
  <si>
    <t>3422300110</t>
  </si>
  <si>
    <t>Purmo CV 22 300 1100</t>
  </si>
  <si>
    <t>3422300120</t>
  </si>
  <si>
    <t>Purmo CV 22 300 1200</t>
  </si>
  <si>
    <t>3422300140</t>
  </si>
  <si>
    <t>Purmo CV 22 300 1400</t>
  </si>
  <si>
    <t>3422300160</t>
  </si>
  <si>
    <t>Purmo CV 22 300 1600</t>
  </si>
  <si>
    <t>3422300180</t>
  </si>
  <si>
    <t>Purmo CV 22 300 1800</t>
  </si>
  <si>
    <t>3422300200</t>
  </si>
  <si>
    <t>Purmo CV 22 300 2000</t>
  </si>
  <si>
    <t>3422300230</t>
  </si>
  <si>
    <t>Purmo CV 22 300 2300</t>
  </si>
  <si>
    <t>3422300260</t>
  </si>
  <si>
    <t>Purmo CV 22 300 2600</t>
  </si>
  <si>
    <t>3422300300</t>
  </si>
  <si>
    <t>Purmo CV 22 300 3000</t>
  </si>
  <si>
    <t>3422400040</t>
  </si>
  <si>
    <t>Purmo CV 22 400   400</t>
  </si>
  <si>
    <t>3422400050</t>
  </si>
  <si>
    <t>Purmo CV 22 400   500</t>
  </si>
  <si>
    <t>3422400060</t>
  </si>
  <si>
    <t>Purmo CV 22 400   600</t>
  </si>
  <si>
    <t>3422400070</t>
  </si>
  <si>
    <t>Purmo CV 22 400   700</t>
  </si>
  <si>
    <t>3422400080</t>
  </si>
  <si>
    <t>Purmo CV 22 400   800</t>
  </si>
  <si>
    <t>3422400090</t>
  </si>
  <si>
    <t>Purmo CV 22 400   900</t>
  </si>
  <si>
    <t>3422400100</t>
  </si>
  <si>
    <t>Purmo CV 22 400 1000</t>
  </si>
  <si>
    <t>3422400110</t>
  </si>
  <si>
    <t>Purmo CV 22 400 1100</t>
  </si>
  <si>
    <t>3422400120</t>
  </si>
  <si>
    <t>Purmo CV 22 400 1200</t>
  </si>
  <si>
    <t>3422400140</t>
  </si>
  <si>
    <t>Purmo CV 22 400 1400</t>
  </si>
  <si>
    <t>3422400160</t>
  </si>
  <si>
    <t>Purmo CV 22 400 1600</t>
  </si>
  <si>
    <t>3422400180</t>
  </si>
  <si>
    <t>Purmo CV 22 400 1800</t>
  </si>
  <si>
    <t>3422400200</t>
  </si>
  <si>
    <t>Purmo CV 22 400 2000</t>
  </si>
  <si>
    <t>3422400230</t>
  </si>
  <si>
    <t>Purmo CV 22 400 2300</t>
  </si>
  <si>
    <t>3422400260</t>
  </si>
  <si>
    <t>Purmo CV 22 400 2600</t>
  </si>
  <si>
    <t>3422400300</t>
  </si>
  <si>
    <t>Purmo CV 22 400 3000</t>
  </si>
  <si>
    <t>3422450040</t>
  </si>
  <si>
    <t>Purmo CV 22 450   400</t>
  </si>
  <si>
    <t>3422450050</t>
  </si>
  <si>
    <t>Purmo CV 22 450   500</t>
  </si>
  <si>
    <t>3422450060</t>
  </si>
  <si>
    <t>Purmo CV 22 450   600</t>
  </si>
  <si>
    <t>3422450070</t>
  </si>
  <si>
    <t>Purmo CV 22 450   700</t>
  </si>
  <si>
    <t>3422450080</t>
  </si>
  <si>
    <t>Purmo CV 22 450   800</t>
  </si>
  <si>
    <t>3422450090</t>
  </si>
  <si>
    <t>Purmo CV 22 450   900</t>
  </si>
  <si>
    <t>3422450100</t>
  </si>
  <si>
    <t>Purmo CV 22 450 1000</t>
  </si>
  <si>
    <t>3422450110</t>
  </si>
  <si>
    <t>Purmo CV 22 450 1100</t>
  </si>
  <si>
    <t>3422450120</t>
  </si>
  <si>
    <t>Purmo CV 22 450 1200</t>
  </si>
  <si>
    <t>3422450140</t>
  </si>
  <si>
    <t>Purmo CV 22 450 1400</t>
  </si>
  <si>
    <t>3422450160</t>
  </si>
  <si>
    <t>Purmo CV 22 450 1600</t>
  </si>
  <si>
    <t>3422450180</t>
  </si>
  <si>
    <t>Purmo CV 22 450 1800</t>
  </si>
  <si>
    <t>3422450200</t>
  </si>
  <si>
    <t>Purmo CV 22 450 2000</t>
  </si>
  <si>
    <t>3422450230</t>
  </si>
  <si>
    <t>Purmo CV 22 450 2300</t>
  </si>
  <si>
    <t>3422450260</t>
  </si>
  <si>
    <t>Purmo CV 22 450 2600</t>
  </si>
  <si>
    <t>3422450300</t>
  </si>
  <si>
    <t>Purmo CV 22 450 3000</t>
  </si>
  <si>
    <t>3422500040</t>
  </si>
  <si>
    <t>Purmo CV 22 500   400</t>
  </si>
  <si>
    <t>3422500050</t>
  </si>
  <si>
    <t>Purmo CV 22 500   500</t>
  </si>
  <si>
    <t>3422500060</t>
  </si>
  <si>
    <t>Purmo CV 22 500   600</t>
  </si>
  <si>
    <t>3422500070</t>
  </si>
  <si>
    <t>Purmo CV 22 500   700</t>
  </si>
  <si>
    <t>3422500080</t>
  </si>
  <si>
    <t>Purmo CV 22 500   800</t>
  </si>
  <si>
    <t>3422500090</t>
  </si>
  <si>
    <t>Purmo CV 22 500   900</t>
  </si>
  <si>
    <t>3422500100</t>
  </si>
  <si>
    <t>Purmo CV 22 500 1000</t>
  </si>
  <si>
    <t>3422500110</t>
  </si>
  <si>
    <t>Purmo CV 22 500 1100</t>
  </si>
  <si>
    <t>3422500120</t>
  </si>
  <si>
    <t>Purmo CV 22 500 1200</t>
  </si>
  <si>
    <t>3422500140</t>
  </si>
  <si>
    <t>Purmo CV 22 500 1400</t>
  </si>
  <si>
    <t>3422500160</t>
  </si>
  <si>
    <t>Purmo CV 22 500 1600</t>
  </si>
  <si>
    <t>3422500180</t>
  </si>
  <si>
    <t>Purmo CV 22 500 1800</t>
  </si>
  <si>
    <t>3422500200</t>
  </si>
  <si>
    <t>Purmo CV 22 500 2000</t>
  </si>
  <si>
    <t>3422500230</t>
  </si>
  <si>
    <t>Purmo CV 22 500 2300</t>
  </si>
  <si>
    <t>3422500260</t>
  </si>
  <si>
    <t>Purmo CV 22 500 2600</t>
  </si>
  <si>
    <t>3422500300</t>
  </si>
  <si>
    <t>Purmo CV 22 500 3000</t>
  </si>
  <si>
    <t>3422600040</t>
  </si>
  <si>
    <t>Purmo CV 22 600   400</t>
  </si>
  <si>
    <t>3422600050</t>
  </si>
  <si>
    <t>Purmo CV 22 600   500</t>
  </si>
  <si>
    <t>3422600060</t>
  </si>
  <si>
    <t>Purmo CV 22 600   600</t>
  </si>
  <si>
    <t>3422600070</t>
  </si>
  <si>
    <t>Purmo CV 22 600   700</t>
  </si>
  <si>
    <t>3422600080</t>
  </si>
  <si>
    <t>Purmo CV 22 600   800</t>
  </si>
  <si>
    <t>3422600090</t>
  </si>
  <si>
    <t>Purmo CV 22 600   900</t>
  </si>
  <si>
    <t>3422600100</t>
  </si>
  <si>
    <t>Purmo CV 22 600 1000</t>
  </si>
  <si>
    <t>3422600110</t>
  </si>
  <si>
    <t>Purmo CV 22 600 1100</t>
  </si>
  <si>
    <t>3422600120</t>
  </si>
  <si>
    <t>Purmo CV 22 600 1200</t>
  </si>
  <si>
    <t>3422600140</t>
  </si>
  <si>
    <t>Purmo CV 22 600 1400</t>
  </si>
  <si>
    <t>3422600160</t>
  </si>
  <si>
    <t>Purmo CV 22 600 1600</t>
  </si>
  <si>
    <t>3422600180</t>
  </si>
  <si>
    <t>Purmo CV 22 600 1800</t>
  </si>
  <si>
    <t>3422600200</t>
  </si>
  <si>
    <t>Purmo CV 22 600 2000</t>
  </si>
  <si>
    <t>3422600230</t>
  </si>
  <si>
    <t>Purmo CV 22 600 2300</t>
  </si>
  <si>
    <t>3422600260</t>
  </si>
  <si>
    <t>Purmo CV 22 600 2600</t>
  </si>
  <si>
    <t>3422600300</t>
  </si>
  <si>
    <t>Purmo CV 22 600 3000</t>
  </si>
  <si>
    <t>3422900040</t>
  </si>
  <si>
    <t>Purmo CV 22 900   400</t>
  </si>
  <si>
    <t>3422900050</t>
  </si>
  <si>
    <t>Purmo CV 22 900   500</t>
  </si>
  <si>
    <t>3422900060</t>
  </si>
  <si>
    <t>Purmo CV 22 900   600</t>
  </si>
  <si>
    <t>3422900070</t>
  </si>
  <si>
    <t>Purmo CV 22 900   700</t>
  </si>
  <si>
    <t>3422900080</t>
  </si>
  <si>
    <t>Purmo CV 22 900   800</t>
  </si>
  <si>
    <t>3422900090</t>
  </si>
  <si>
    <t>Purmo CV 22 900   900</t>
  </si>
  <si>
    <t>3422900100</t>
  </si>
  <si>
    <t>Purmo CV 22 900 1000</t>
  </si>
  <si>
    <t>3422900110</t>
  </si>
  <si>
    <t>Purmo CV 22 900 1100</t>
  </si>
  <si>
    <t>3422900120</t>
  </si>
  <si>
    <t>Purmo CV 22 900 1200</t>
  </si>
  <si>
    <t>3422900140</t>
  </si>
  <si>
    <t>Purmo CV 22 900 1400</t>
  </si>
  <si>
    <t>3422900160</t>
  </si>
  <si>
    <t>Purmo CV 22 900 1600</t>
  </si>
  <si>
    <t>3422900180</t>
  </si>
  <si>
    <t>Purmo CV 22 900 1800</t>
  </si>
  <si>
    <t>3422900200</t>
  </si>
  <si>
    <t>Purmo CV 22 900 2000</t>
  </si>
  <si>
    <t>3422900230</t>
  </si>
  <si>
    <t>Purmo CV 22 900 2300</t>
  </si>
  <si>
    <t>3422900260</t>
  </si>
  <si>
    <t>Purmo CV 22 900 2600</t>
  </si>
  <si>
    <t>3422900300</t>
  </si>
  <si>
    <t>Purmo CV 22 900 3000</t>
  </si>
  <si>
    <t>3433200060</t>
  </si>
  <si>
    <t>Purmo CV 33 200   600</t>
  </si>
  <si>
    <t>3433200070</t>
  </si>
  <si>
    <t>Purmo CV 33 200   700</t>
  </si>
  <si>
    <t>3433200080</t>
  </si>
  <si>
    <t>Purmo CV 33 200   800</t>
  </si>
  <si>
    <t>3433200090</t>
  </si>
  <si>
    <t>Purmo CV 33 200   900</t>
  </si>
  <si>
    <t>3433200100</t>
  </si>
  <si>
    <t>Purmo CV 33 200 1000</t>
  </si>
  <si>
    <t>3433200110</t>
  </si>
  <si>
    <t>Purmo CV 33 200 1100</t>
  </si>
  <si>
    <t>3433200120</t>
  </si>
  <si>
    <t>Purmo CV 33 200 1200</t>
  </si>
  <si>
    <t>3433200140</t>
  </si>
  <si>
    <t>Purmo CV 33 200 1400</t>
  </si>
  <si>
    <t>3433200160</t>
  </si>
  <si>
    <t>Purmo CV 33 200 1600</t>
  </si>
  <si>
    <t>3433200180</t>
  </si>
  <si>
    <t>Purmo CV 33 200 1800</t>
  </si>
  <si>
    <t>3433200200</t>
  </si>
  <si>
    <t>Purmo CV 33 200 2000</t>
  </si>
  <si>
    <t>3433200230</t>
  </si>
  <si>
    <t>Purmo CV 33 200 2300</t>
  </si>
  <si>
    <t>3433200260</t>
  </si>
  <si>
    <t>Purmo CV 33 200 2600</t>
  </si>
  <si>
    <t>3433200300</t>
  </si>
  <si>
    <t>Purmo CV 33 200 3000</t>
  </si>
  <si>
    <t>3433300040</t>
  </si>
  <si>
    <t>Purmo CV 33 300   400</t>
  </si>
  <si>
    <t>3433300050</t>
  </si>
  <si>
    <t>Purmo CV 33 300   500</t>
  </si>
  <si>
    <t>3433300060</t>
  </si>
  <si>
    <t>Purmo CV 33 300   600</t>
  </si>
  <si>
    <t>3433300070</t>
  </si>
  <si>
    <t>Purmo CV 33 300   700</t>
  </si>
  <si>
    <t>3433300080</t>
  </si>
  <si>
    <t>Purmo CV 33 300   800</t>
  </si>
  <si>
    <t>3433300090</t>
  </si>
  <si>
    <t>Purmo CV 33 300   900</t>
  </si>
  <si>
    <t>3433300100</t>
  </si>
  <si>
    <t>Purmo CV 33 300 1000</t>
  </si>
  <si>
    <t>3433300110</t>
  </si>
  <si>
    <t>Purmo CV 33 300 1100</t>
  </si>
  <si>
    <t>3433300120</t>
  </si>
  <si>
    <t>Purmo CV 33 300 1200</t>
  </si>
  <si>
    <t>3433300140</t>
  </si>
  <si>
    <t>Purmo CV 33 300 1400</t>
  </si>
  <si>
    <t>3433300160</t>
  </si>
  <si>
    <t>Purmo CV 33 300 1600</t>
  </si>
  <si>
    <t>3433300180</t>
  </si>
  <si>
    <t>Purmo CV 33 300 1800</t>
  </si>
  <si>
    <t>3433300200</t>
  </si>
  <si>
    <t>Purmo CV 33 300 2000</t>
  </si>
  <si>
    <t>3433300230</t>
  </si>
  <si>
    <t>Purmo CV 33 300 2300</t>
  </si>
  <si>
    <t>3433300260</t>
  </si>
  <si>
    <t>Purmo CV 33 300 2600</t>
  </si>
  <si>
    <t>3433300300</t>
  </si>
  <si>
    <t>Purmo CV 33 300 3000</t>
  </si>
  <si>
    <t>3433400040</t>
  </si>
  <si>
    <t>Purmo CV 33 400   400</t>
  </si>
  <si>
    <t>3433400050</t>
  </si>
  <si>
    <t>Purmo CV 33 400   500</t>
  </si>
  <si>
    <t>3433400060</t>
  </si>
  <si>
    <t>Purmo CV 33 400   600</t>
  </si>
  <si>
    <t>3433400070</t>
  </si>
  <si>
    <t>Purmo CV 33 400   700</t>
  </si>
  <si>
    <t>3433400080</t>
  </si>
  <si>
    <t>Purmo CV 33 400   800</t>
  </si>
  <si>
    <t>3433400090</t>
  </si>
  <si>
    <t>Purmo CV 33 400   900</t>
  </si>
  <si>
    <t>3433400100</t>
  </si>
  <si>
    <t>Purmo CV 33 400 1000</t>
  </si>
  <si>
    <t>3433400110</t>
  </si>
  <si>
    <t>Purmo CV 33 400 1100</t>
  </si>
  <si>
    <t>3433400120</t>
  </si>
  <si>
    <t>Purmo CV 33 400 1200</t>
  </si>
  <si>
    <t>3433400140</t>
  </si>
  <si>
    <t>Purmo CV 33 400 1400</t>
  </si>
  <si>
    <t>3433400160</t>
  </si>
  <si>
    <t>Purmo CV 33 400 1600</t>
  </si>
  <si>
    <t>3433400180</t>
  </si>
  <si>
    <t>Purmo CV 33 400 1800</t>
  </si>
  <si>
    <t>3433400200</t>
  </si>
  <si>
    <t>Purmo CV 33 400 2000</t>
  </si>
  <si>
    <t>3433400230</t>
  </si>
  <si>
    <t>Purmo CV 33 400 2300</t>
  </si>
  <si>
    <t>3433400260</t>
  </si>
  <si>
    <t>Purmo CV 33 400 2600</t>
  </si>
  <si>
    <t>3433400300</t>
  </si>
  <si>
    <t>Purmo CV 33 400 3000</t>
  </si>
  <si>
    <t>3433450040</t>
  </si>
  <si>
    <t>Purmo CV 33 450   400</t>
  </si>
  <si>
    <t>3433450050</t>
  </si>
  <si>
    <t>Purmo CV 33 450   500</t>
  </si>
  <si>
    <t>3433450060</t>
  </si>
  <si>
    <t>Purmo CV 33 450   600</t>
  </si>
  <si>
    <t>3433450070</t>
  </si>
  <si>
    <t>Purmo CV 33 450   700</t>
  </si>
  <si>
    <t>3433450080</t>
  </si>
  <si>
    <t>Purmo CV 33 450   800</t>
  </si>
  <si>
    <t>3433450090</t>
  </si>
  <si>
    <t>Purmo CV 33 450   900</t>
  </si>
  <si>
    <t>3433450100</t>
  </si>
  <si>
    <t>Purmo CV 33 450 1000</t>
  </si>
  <si>
    <t>3433450110</t>
  </si>
  <si>
    <t>Purmo CV 33 450 1100</t>
  </si>
  <si>
    <t>3433450120</t>
  </si>
  <si>
    <t>Purmo CV 33 450 1200</t>
  </si>
  <si>
    <t>3433450140</t>
  </si>
  <si>
    <t>Purmo CV 33 450 1400</t>
  </si>
  <si>
    <t>3433450160</t>
  </si>
  <si>
    <t>Purmo CV 33 450 1600</t>
  </si>
  <si>
    <t>3433450180</t>
  </si>
  <si>
    <t>Purmo CV 33 450 1800</t>
  </si>
  <si>
    <t>3433450200</t>
  </si>
  <si>
    <t>Purmo CV 33 450 2000</t>
  </si>
  <si>
    <t>3433450230</t>
  </si>
  <si>
    <t>Purmo CV 33 450 2300</t>
  </si>
  <si>
    <t>3433450260</t>
  </si>
  <si>
    <t>Purmo CV 33 450 2600</t>
  </si>
  <si>
    <t>3433450300</t>
  </si>
  <si>
    <t>Purmo CV 33 450 3000</t>
  </si>
  <si>
    <t>3433500040</t>
  </si>
  <si>
    <t>Purmo CV 33 500   400</t>
  </si>
  <si>
    <t>3433500050</t>
  </si>
  <si>
    <t>Purmo CV 33 500   500</t>
  </si>
  <si>
    <t>3433500060</t>
  </si>
  <si>
    <t>Purmo CV 33 500   600</t>
  </si>
  <si>
    <t>3433500070</t>
  </si>
  <si>
    <t>Purmo CV 33 500   700</t>
  </si>
  <si>
    <t>3433500080</t>
  </si>
  <si>
    <t>Purmo CV 33 500   800</t>
  </si>
  <si>
    <t>3433500090</t>
  </si>
  <si>
    <t>Purmo CV 33 500   900</t>
  </si>
  <si>
    <t>3433500100</t>
  </si>
  <si>
    <t>Purmo CV 33 500 1000</t>
  </si>
  <si>
    <t>3433500110</t>
  </si>
  <si>
    <t>Purmo CV 33 500 1100</t>
  </si>
  <si>
    <t>3433500120</t>
  </si>
  <si>
    <t>Purmo CV 33 500 1200</t>
  </si>
  <si>
    <t>3433500140</t>
  </si>
  <si>
    <t>Purmo CV 33 500 1400</t>
  </si>
  <si>
    <t>3433500160</t>
  </si>
  <si>
    <t>Purmo CV 33 500 1600</t>
  </si>
  <si>
    <t>3433500180</t>
  </si>
  <si>
    <t>Purmo CV 33 500 1800</t>
  </si>
  <si>
    <t>3433500200</t>
  </si>
  <si>
    <t>Purmo CV 33 500 2000</t>
  </si>
  <si>
    <t>3433500230</t>
  </si>
  <si>
    <t>Purmo CV 33 500 2300</t>
  </si>
  <si>
    <t>3433500260</t>
  </si>
  <si>
    <t>Purmo CV 33 500 2600</t>
  </si>
  <si>
    <t>3433500300</t>
  </si>
  <si>
    <t>Purmo CV 33 500 3000</t>
  </si>
  <si>
    <t>3433600040</t>
  </si>
  <si>
    <t>Purmo CV 33 600   400</t>
  </si>
  <si>
    <t>3433600050</t>
  </si>
  <si>
    <t>Purmo CV 33 600   500</t>
  </si>
  <si>
    <t>3433600060</t>
  </si>
  <si>
    <t>Purmo CV 33 600   600</t>
  </si>
  <si>
    <t>3433600070</t>
  </si>
  <si>
    <t>Purmo CV 33 600   700</t>
  </si>
  <si>
    <t>3433600080</t>
  </si>
  <si>
    <t>Purmo CV 33 600   800</t>
  </si>
  <si>
    <t>3433600090</t>
  </si>
  <si>
    <t>Purmo CV 33 600   900</t>
  </si>
  <si>
    <t>3433600100</t>
  </si>
  <si>
    <t>Purmo CV 33 600 1000</t>
  </si>
  <si>
    <t>3433600110</t>
  </si>
  <si>
    <t>Purmo CV 33 600 1100</t>
  </si>
  <si>
    <t>3433600120</t>
  </si>
  <si>
    <t>Purmo CV 33 600 1200</t>
  </si>
  <si>
    <t>3433600140</t>
  </si>
  <si>
    <t>Purmo CV 33 600 1400</t>
  </si>
  <si>
    <t>3433600160</t>
  </si>
  <si>
    <t>Purmo CV 33 600 1600</t>
  </si>
  <si>
    <t>3433600180</t>
  </si>
  <si>
    <t>Purmo CV 33 600 1800</t>
  </si>
  <si>
    <t>3433600200</t>
  </si>
  <si>
    <t>Purmo CV 33 600 2000</t>
  </si>
  <si>
    <t>3433600230</t>
  </si>
  <si>
    <t>Purmo CV 33 600 2300</t>
  </si>
  <si>
    <t>3433600260</t>
  </si>
  <si>
    <t>Purmo CV 33 600 2600</t>
  </si>
  <si>
    <t>3433600300</t>
  </si>
  <si>
    <t>Purmo CV 33 600 3000</t>
  </si>
  <si>
    <t>3433900040</t>
  </si>
  <si>
    <t>Purmo CV 33 900   400</t>
  </si>
  <si>
    <t>3433900050</t>
  </si>
  <si>
    <t>Purmo CV 33 900   500</t>
  </si>
  <si>
    <t>3433900060</t>
  </si>
  <si>
    <t>Purmo CV 33 900   600</t>
  </si>
  <si>
    <t>3433900070</t>
  </si>
  <si>
    <t>Purmo CV 33 900   700</t>
  </si>
  <si>
    <t>3433900080</t>
  </si>
  <si>
    <t>Purmo CV 33 900   800</t>
  </si>
  <si>
    <t>3433900090</t>
  </si>
  <si>
    <t>Purmo CV 33 900   900</t>
  </si>
  <si>
    <t>3433900100</t>
  </si>
  <si>
    <t>Purmo CV 33 900 1000</t>
  </si>
  <si>
    <t>3433900110</t>
  </si>
  <si>
    <t>Purmo CV 33 900 1100</t>
  </si>
  <si>
    <t>3433900120</t>
  </si>
  <si>
    <t>Purmo CV 33 900 1200</t>
  </si>
  <si>
    <t>3433900140</t>
  </si>
  <si>
    <t>Purmo CV 33 900 1400</t>
  </si>
  <si>
    <t>3433900160</t>
  </si>
  <si>
    <t>Purmo CV 33 900 1600</t>
  </si>
  <si>
    <t>3433900180</t>
  </si>
  <si>
    <t>Purmo CV 33 900 1800</t>
  </si>
  <si>
    <t>3433900200</t>
  </si>
  <si>
    <t>Purmo CV 33 900 2000</t>
  </si>
  <si>
    <t>3433900230</t>
  </si>
  <si>
    <t>Purmo CV 33 900 2300</t>
  </si>
  <si>
    <t>3433900260</t>
  </si>
  <si>
    <t>Purmo CV 33 900 2600</t>
  </si>
  <si>
    <t>3433900300</t>
  </si>
  <si>
    <t>Purmo CV 33 900 3000</t>
  </si>
  <si>
    <t>3444200060</t>
  </si>
  <si>
    <t>Purmo CV 44 200   600</t>
  </si>
  <si>
    <t>3444200070</t>
  </si>
  <si>
    <t>Purmo CV 44 200   700</t>
  </si>
  <si>
    <t>3444200080</t>
  </si>
  <si>
    <t>Purmo CV 44 200   800</t>
  </si>
  <si>
    <t>3444200090</t>
  </si>
  <si>
    <t>Purmo CV 44 200   900</t>
  </si>
  <si>
    <t>3444200100</t>
  </si>
  <si>
    <t>Purmo CV 44 200 1000</t>
  </si>
  <si>
    <t>3444200110</t>
  </si>
  <si>
    <t>Purmo CV 44 200 1100</t>
  </si>
  <si>
    <t>3444200120</t>
  </si>
  <si>
    <t>Purmo CV 44 200 1200</t>
  </si>
  <si>
    <t>3444200140</t>
  </si>
  <si>
    <t>Purmo CV 44 200 1400</t>
  </si>
  <si>
    <t>3444200160</t>
  </si>
  <si>
    <t>Purmo CV 44 200 1600</t>
  </si>
  <si>
    <t>3444200180</t>
  </si>
  <si>
    <t>Purmo CV 44 200 1800</t>
  </si>
  <si>
    <t>3444200200</t>
  </si>
  <si>
    <t>Purmo CV 44 200 2000</t>
  </si>
  <si>
    <t>3444200230</t>
  </si>
  <si>
    <t>Purmo CV 44 200 2300</t>
  </si>
  <si>
    <t>3444200260</t>
  </si>
  <si>
    <t>Purmo CV 44 200 2600</t>
  </si>
  <si>
    <t>3444200300</t>
  </si>
  <si>
    <t>Purmo CV 44 200 3000</t>
  </si>
  <si>
    <t>3611300040</t>
  </si>
  <si>
    <t>Ramo CVM 11 300   400</t>
  </si>
  <si>
    <t>3611300050</t>
  </si>
  <si>
    <t>Ramo CVM 11 300   500</t>
  </si>
  <si>
    <t>3611300060</t>
  </si>
  <si>
    <t>Ramo CVM 11 300   600</t>
  </si>
  <si>
    <t>3611300080</t>
  </si>
  <si>
    <t>Ramo CVM 11 300   800</t>
  </si>
  <si>
    <t>3611300100</t>
  </si>
  <si>
    <t>Ramo CVM 11 300 1000</t>
  </si>
  <si>
    <t>3611300120</t>
  </si>
  <si>
    <t>Ramo CVM 11 300 1200</t>
  </si>
  <si>
    <t>3611300140</t>
  </si>
  <si>
    <t>Ramo CVM 11 300 1400</t>
  </si>
  <si>
    <t>3611300160</t>
  </si>
  <si>
    <t>Ramo CVM 11 300 1600</t>
  </si>
  <si>
    <t>3611300180</t>
  </si>
  <si>
    <t>Ramo CVM 11 300 1800</t>
  </si>
  <si>
    <t>3611300200</t>
  </si>
  <si>
    <t>Ramo CVM 11 300 2000</t>
  </si>
  <si>
    <t>3611300230</t>
  </si>
  <si>
    <t>Ramo CVM 11 300 2300</t>
  </si>
  <si>
    <t>3611300260</t>
  </si>
  <si>
    <t>Ramo CVM 11 300 2600</t>
  </si>
  <si>
    <t>3611300300</t>
  </si>
  <si>
    <t>Ramo CVM 11 300 3000</t>
  </si>
  <si>
    <t>3611500040</t>
  </si>
  <si>
    <t>Ramo CVM 11 500   400</t>
  </si>
  <si>
    <t>3611500050</t>
  </si>
  <si>
    <t>Ramo CVM 11 500   500</t>
  </si>
  <si>
    <t>3611500060</t>
  </si>
  <si>
    <t>Ramo CVM 11 500   600</t>
  </si>
  <si>
    <t>3611500080</t>
  </si>
  <si>
    <t>Ramo CVM 11 500   800</t>
  </si>
  <si>
    <t>3611500100</t>
  </si>
  <si>
    <t>Ramo CVM 11 500 1000</t>
  </si>
  <si>
    <t>3611500120</t>
  </si>
  <si>
    <t>Ramo CVM 11 500 1200</t>
  </si>
  <si>
    <t>3611500140</t>
  </si>
  <si>
    <t>Ramo CVM 11 500 1400</t>
  </si>
  <si>
    <t>3611500160</t>
  </si>
  <si>
    <t>Ramo CVM 11 500 1600</t>
  </si>
  <si>
    <t>3611500180</t>
  </si>
  <si>
    <t>Ramo CVM 11 500 1800</t>
  </si>
  <si>
    <t>3611500200</t>
  </si>
  <si>
    <t>Ramo CVM 11 500 2000</t>
  </si>
  <si>
    <t>3611500230</t>
  </si>
  <si>
    <t>Ramo CVM 11 500 2300</t>
  </si>
  <si>
    <t>3611500260</t>
  </si>
  <si>
    <t>Ramo CVM 11 500 2600</t>
  </si>
  <si>
    <t>3611500300</t>
  </si>
  <si>
    <t>Ramo CVM 11 500 3000</t>
  </si>
  <si>
    <t>3611600040</t>
  </si>
  <si>
    <t>Ramo CVM 11 600   400</t>
  </si>
  <si>
    <t>3611600050</t>
  </si>
  <si>
    <t>Ramo CVM 11 600   500</t>
  </si>
  <si>
    <t>3611600060</t>
  </si>
  <si>
    <t>Ramo CVM 11 600   600</t>
  </si>
  <si>
    <t>3611600080</t>
  </si>
  <si>
    <t>Ramo CVM 11 600   800</t>
  </si>
  <si>
    <t>3611600100</t>
  </si>
  <si>
    <t>Ramo CVM 11 600 1000</t>
  </si>
  <si>
    <t>3611600120</t>
  </si>
  <si>
    <t>Ramo CVM 11 600 1200</t>
  </si>
  <si>
    <t>3611600140</t>
  </si>
  <si>
    <t>Ramo CVM 11 600 1400</t>
  </si>
  <si>
    <t>3611600160</t>
  </si>
  <si>
    <t>Ramo CVM 11 600 1600</t>
  </si>
  <si>
    <t>3611600180</t>
  </si>
  <si>
    <t>Ramo CVM 11 600 1800</t>
  </si>
  <si>
    <t>3611600200</t>
  </si>
  <si>
    <t>Ramo CVM 11 600 2000</t>
  </si>
  <si>
    <t>3611600230</t>
  </si>
  <si>
    <t>Ramo CVM 11 600 2300</t>
  </si>
  <si>
    <t>3611600260</t>
  </si>
  <si>
    <t>Ramo CVM 11 600 2600</t>
  </si>
  <si>
    <t>3611600300</t>
  </si>
  <si>
    <t>Ramo CVM 11 600 3000</t>
  </si>
  <si>
    <t>3611900040</t>
  </si>
  <si>
    <t>Ramo CVM 11 900   400</t>
  </si>
  <si>
    <t>3611900050</t>
  </si>
  <si>
    <t>Ramo CVM 11 900   500</t>
  </si>
  <si>
    <t>3611900060</t>
  </si>
  <si>
    <t>Ramo CVM 11 900   600</t>
  </si>
  <si>
    <t>3611900080</t>
  </si>
  <si>
    <t>Ramo CVM 11 900   800</t>
  </si>
  <si>
    <t>3611900100</t>
  </si>
  <si>
    <t>Ramo CVM 11 900 1000</t>
  </si>
  <si>
    <t>3611900120</t>
  </si>
  <si>
    <t>Ramo CVM 11 900 1200</t>
  </si>
  <si>
    <t>3611900140</t>
  </si>
  <si>
    <t>Ramo CVM 11 900 1400</t>
  </si>
  <si>
    <t>3611900160</t>
  </si>
  <si>
    <t>Ramo CVM 11 900 1600</t>
  </si>
  <si>
    <t>3611900180</t>
  </si>
  <si>
    <t>Ramo CVM 11 900 1800</t>
  </si>
  <si>
    <t>3611900200</t>
  </si>
  <si>
    <t>Ramo CVM 11 900 2000</t>
  </si>
  <si>
    <t>3621300040</t>
  </si>
  <si>
    <t>Ramo CVM 21 300   400</t>
  </si>
  <si>
    <t>3621300050</t>
  </si>
  <si>
    <t>Ramo CVM 21 300   500</t>
  </si>
  <si>
    <t>3621300060</t>
  </si>
  <si>
    <t>Ramo CVM 21 300   600</t>
  </si>
  <si>
    <t>3621300080</t>
  </si>
  <si>
    <t>Ramo CVM 21 300   800</t>
  </si>
  <si>
    <t>3621300100</t>
  </si>
  <si>
    <t>Ramo CVM 21 300 1000</t>
  </si>
  <si>
    <t>3621300120</t>
  </si>
  <si>
    <t>Ramo CVM 21 300 1200</t>
  </si>
  <si>
    <t>3621300140</t>
  </si>
  <si>
    <t>Ramo CVM 21 300 1400</t>
  </si>
  <si>
    <t>3621300160</t>
  </si>
  <si>
    <t>Ramo CVM 21 300 1600</t>
  </si>
  <si>
    <t>3621300180</t>
  </si>
  <si>
    <t>Ramo CVM 21 300 1800</t>
  </si>
  <si>
    <t>3621300200</t>
  </si>
  <si>
    <t>Ramo CVM 21 300 2000</t>
  </si>
  <si>
    <t>3621300230</t>
  </si>
  <si>
    <t>Ramo CVM 21 300 2300</t>
  </si>
  <si>
    <t>3621300260</t>
  </si>
  <si>
    <t>Ramo CVM 21 300 2600</t>
  </si>
  <si>
    <t>3621300300</t>
  </si>
  <si>
    <t>Ramo CVM 21 300 3000</t>
  </si>
  <si>
    <t>3621500040</t>
  </si>
  <si>
    <t>Ramo CVM 21 500   400</t>
  </si>
  <si>
    <t>3621500050</t>
  </si>
  <si>
    <t>Ramo CVM 21 500   500</t>
  </si>
  <si>
    <t>3621500060</t>
  </si>
  <si>
    <t>Ramo CVM 21 500   600</t>
  </si>
  <si>
    <t>3621500080</t>
  </si>
  <si>
    <t>Ramo CVM 21 500   800</t>
  </si>
  <si>
    <t>3621500100</t>
  </si>
  <si>
    <t>Ramo CVM 21 500 1000</t>
  </si>
  <si>
    <t>3621500120</t>
  </si>
  <si>
    <t>Ramo CVM 21 500 1200</t>
  </si>
  <si>
    <t>3621500140</t>
  </si>
  <si>
    <t>Ramo CVM 21 500 1400</t>
  </si>
  <si>
    <t>3621500160</t>
  </si>
  <si>
    <t>Ramo CVM 21 500 1600</t>
  </si>
  <si>
    <t>3621500180</t>
  </si>
  <si>
    <t>Ramo CVM 21 500 1800</t>
  </si>
  <si>
    <t>3621500200</t>
  </si>
  <si>
    <t>Ramo CVM 21 500 2000</t>
  </si>
  <si>
    <t>3621500230</t>
  </si>
  <si>
    <t>Ramo CVM 21 500 2300</t>
  </si>
  <si>
    <t>3621500260</t>
  </si>
  <si>
    <t>Ramo CVM 21 500 2600</t>
  </si>
  <si>
    <t>3621500300</t>
  </si>
  <si>
    <t>Ramo CVM 21 500 3000</t>
  </si>
  <si>
    <t>3621600040</t>
  </si>
  <si>
    <t>Ramo CVM 21 600   400</t>
  </si>
  <si>
    <t>3621600050</t>
  </si>
  <si>
    <t>Ramo CVM 21 600   500</t>
  </si>
  <si>
    <t>3621600060</t>
  </si>
  <si>
    <t>Ramo CVM 21 600   600</t>
  </si>
  <si>
    <t>3621600080</t>
  </si>
  <si>
    <t>Ramo CVM 21 600   800</t>
  </si>
  <si>
    <t>3621600100</t>
  </si>
  <si>
    <t>Ramo CVM 21 600 1000</t>
  </si>
  <si>
    <t>3621600120</t>
  </si>
  <si>
    <t>Ramo CVM 21 600 1200</t>
  </si>
  <si>
    <t>3621600140</t>
  </si>
  <si>
    <t>Ramo CVM 21 600 1400</t>
  </si>
  <si>
    <t>3621600160</t>
  </si>
  <si>
    <t>Ramo CVM 21 600 1600</t>
  </si>
  <si>
    <t>3621600180</t>
  </si>
  <si>
    <t>Ramo CVM 21 600 1800</t>
  </si>
  <si>
    <t>3621600200</t>
  </si>
  <si>
    <t>Ramo CVM 21 600 2000</t>
  </si>
  <si>
    <t>3621600230</t>
  </si>
  <si>
    <t>Ramo CVM 21 600 2300</t>
  </si>
  <si>
    <t>3621600260</t>
  </si>
  <si>
    <t>Ramo CVM 21 600 2600</t>
  </si>
  <si>
    <t>3621600300</t>
  </si>
  <si>
    <t>Ramo CVM 21 600 3000</t>
  </si>
  <si>
    <t>3621900040</t>
  </si>
  <si>
    <t>Ramo CVM 21 900   400</t>
  </si>
  <si>
    <t>3621900050</t>
  </si>
  <si>
    <t>Ramo CVM 21 900   500</t>
  </si>
  <si>
    <t>3621900060</t>
  </si>
  <si>
    <t>Ramo CVM 21 900   600</t>
  </si>
  <si>
    <t>3621900080</t>
  </si>
  <si>
    <t>Ramo CVM 21 900   800</t>
  </si>
  <si>
    <t>3621900100</t>
  </si>
  <si>
    <t>Ramo CVM 21 900 1000</t>
  </si>
  <si>
    <t>3621900120</t>
  </si>
  <si>
    <t>Ramo CVM 21 900 1200</t>
  </si>
  <si>
    <t>3621900140</t>
  </si>
  <si>
    <t>Ramo CVM 21 900 1400</t>
  </si>
  <si>
    <t>3621900160</t>
  </si>
  <si>
    <t>Ramo CVM 21 900 1600</t>
  </si>
  <si>
    <t>3621900180</t>
  </si>
  <si>
    <t>Ramo CVM 21 900 1800</t>
  </si>
  <si>
    <t>3621900200</t>
  </si>
  <si>
    <t>Ramo CVM 21 900 2000</t>
  </si>
  <si>
    <t>3622300040</t>
  </si>
  <si>
    <t>Ramo CVM 22 300   400</t>
  </si>
  <si>
    <t>3622300050</t>
  </si>
  <si>
    <t>Ramo CVM 22 300   500</t>
  </si>
  <si>
    <t>3622300060</t>
  </si>
  <si>
    <t>Ramo CVM 22 300   600</t>
  </si>
  <si>
    <t>3622300080</t>
  </si>
  <si>
    <t>Ramo CVM 22 300   800</t>
  </si>
  <si>
    <t>3622300100</t>
  </si>
  <si>
    <t>Ramo CVM 22 300 1000</t>
  </si>
  <si>
    <t>3622300120</t>
  </si>
  <si>
    <t>Ramo CVM 22 300 1200</t>
  </si>
  <si>
    <t>3622300140</t>
  </si>
  <si>
    <t>Ramo CVM 22 300 1400</t>
  </si>
  <si>
    <t>3622300160</t>
  </si>
  <si>
    <t>Ramo CVM 22 300 1600</t>
  </si>
  <si>
    <t>3622300180</t>
  </si>
  <si>
    <t>Ramo CVM 22 300 1800</t>
  </si>
  <si>
    <t>3622300200</t>
  </si>
  <si>
    <t>Ramo CVM 22 300 2000</t>
  </si>
  <si>
    <t>3622300230</t>
  </si>
  <si>
    <t>Ramo CVM 22 300 2300</t>
  </si>
  <si>
    <t>3622300260</t>
  </si>
  <si>
    <t>Ramo CVM 22 300 2600</t>
  </si>
  <si>
    <t>3622300300</t>
  </si>
  <si>
    <t>Ramo CVM 22 300 3000</t>
  </si>
  <si>
    <t>3622500040</t>
  </si>
  <si>
    <t>Ramo CVM 22 500   400</t>
  </si>
  <si>
    <t>3622500050</t>
  </si>
  <si>
    <t>Ramo CVM 22 500   500</t>
  </si>
  <si>
    <t>3622500060</t>
  </si>
  <si>
    <t>Ramo CVM 22 500   600</t>
  </si>
  <si>
    <t>3622500080</t>
  </si>
  <si>
    <t>Ramo CVM 22 500   800</t>
  </si>
  <si>
    <t>3622500100</t>
  </si>
  <si>
    <t>Ramo CVM 22 500 1000</t>
  </si>
  <si>
    <t>3622500120</t>
  </si>
  <si>
    <t>Ramo CVM 22 500 1200</t>
  </si>
  <si>
    <t>3622500140</t>
  </si>
  <si>
    <t>Ramo CVM 22 500 1400</t>
  </si>
  <si>
    <t>3622500160</t>
  </si>
  <si>
    <t>Ramo CVM 22 500 1600</t>
  </si>
  <si>
    <t>3622500180</t>
  </si>
  <si>
    <t>Ramo CVM 22 500 1800</t>
  </si>
  <si>
    <t>3622500200</t>
  </si>
  <si>
    <t>Ramo CVM 22 500 2000</t>
  </si>
  <si>
    <t>3622500230</t>
  </si>
  <si>
    <t>Ramo CVM 22 500 2300</t>
  </si>
  <si>
    <t>3622500260</t>
  </si>
  <si>
    <t>Ramo CVM 22 500 2600</t>
  </si>
  <si>
    <t>3622500300</t>
  </si>
  <si>
    <t>Ramo CVM 22 500 3000</t>
  </si>
  <si>
    <t>3622600040</t>
  </si>
  <si>
    <t>Ramo CVM 22 600   400</t>
  </si>
  <si>
    <t>3622600050</t>
  </si>
  <si>
    <t>Ramo CVM 22 600   500</t>
  </si>
  <si>
    <t>3622600060</t>
  </si>
  <si>
    <t>Ramo CVM 22 600   600</t>
  </si>
  <si>
    <t>3622600080</t>
  </si>
  <si>
    <t>Ramo CVM 22 600   800</t>
  </si>
  <si>
    <t>3622600100</t>
  </si>
  <si>
    <t>Ramo CVM 22 600 1000</t>
  </si>
  <si>
    <t>3622600120</t>
  </si>
  <si>
    <t>Ramo CVM 22 600 1200</t>
  </si>
  <si>
    <t>3622600140</t>
  </si>
  <si>
    <t>Ramo CVM 22 600 1400</t>
  </si>
  <si>
    <t>3622600160</t>
  </si>
  <si>
    <t>Ramo CVM 22 600 1600</t>
  </si>
  <si>
    <t>3622600180</t>
  </si>
  <si>
    <t>Ramo CVM 22 600 1800</t>
  </si>
  <si>
    <t>3622600200</t>
  </si>
  <si>
    <t>Ramo CVM 22 600 2000</t>
  </si>
  <si>
    <t>3622600230</t>
  </si>
  <si>
    <t>Ramo CVM 22 600 2300</t>
  </si>
  <si>
    <t>3622600260</t>
  </si>
  <si>
    <t>Ramo CVM 22 600 2600</t>
  </si>
  <si>
    <t>3622600300</t>
  </si>
  <si>
    <t>Ramo CVM 22 600 3000</t>
  </si>
  <si>
    <t>3622900040</t>
  </si>
  <si>
    <t>Ramo CVM 22 900   400</t>
  </si>
  <si>
    <t>3622900050</t>
  </si>
  <si>
    <t>Ramo CVM 22 900   500</t>
  </si>
  <si>
    <t>3622900060</t>
  </si>
  <si>
    <t>Ramo CVM 22 900   600</t>
  </si>
  <si>
    <t>3622900080</t>
  </si>
  <si>
    <t>Ramo CVM 22 900   800</t>
  </si>
  <si>
    <t>3622900100</t>
  </si>
  <si>
    <t>Ramo CVM 22 900 1000</t>
  </si>
  <si>
    <t>3622900120</t>
  </si>
  <si>
    <t>Ramo CVM 22 900 1200</t>
  </si>
  <si>
    <t>3622900140</t>
  </si>
  <si>
    <t>Ramo CVM 22 900 1400</t>
  </si>
  <si>
    <t>3622900160</t>
  </si>
  <si>
    <t>Ramo CVM 22 900 1600</t>
  </si>
  <si>
    <t>3622900180</t>
  </si>
  <si>
    <t>Ramo CVM 22 900 1800</t>
  </si>
  <si>
    <t>3622900200</t>
  </si>
  <si>
    <t>Ramo CVM 22 900 2000</t>
  </si>
  <si>
    <t>3633300040</t>
  </si>
  <si>
    <t>Ramo CVM 33 300   400</t>
  </si>
  <si>
    <t>3633300050</t>
  </si>
  <si>
    <t>Ramo CVM 33 300   500</t>
  </si>
  <si>
    <t>3633300060</t>
  </si>
  <si>
    <t>Ramo CVM 33 300   600</t>
  </si>
  <si>
    <t>3633300080</t>
  </si>
  <si>
    <t>Ramo CVM 33 300   800</t>
  </si>
  <si>
    <t>3633300100</t>
  </si>
  <si>
    <t>Ramo CVM 33 300 1000</t>
  </si>
  <si>
    <t>3633300120</t>
  </si>
  <si>
    <t>Ramo CVM 33 300 1200</t>
  </si>
  <si>
    <t>3633300140</t>
  </si>
  <si>
    <t>Ramo CVM 33 300 1400</t>
  </si>
  <si>
    <t>3633300160</t>
  </si>
  <si>
    <t>Ramo CVM 33 300 1600</t>
  </si>
  <si>
    <t>3633300180</t>
  </si>
  <si>
    <t>Ramo CVM 33 300 1800</t>
  </si>
  <si>
    <t>3633300200</t>
  </si>
  <si>
    <t>Ramo CVM 33 300 2000</t>
  </si>
  <si>
    <t>3633300230</t>
  </si>
  <si>
    <t>Ramo CVM 33 300 2300</t>
  </si>
  <si>
    <t>3633300260</t>
  </si>
  <si>
    <t>Ramo CVM 33 300 2600</t>
  </si>
  <si>
    <t>3633300300</t>
  </si>
  <si>
    <t>Ramo CVM 33 300 3000</t>
  </si>
  <si>
    <t>3633500040</t>
  </si>
  <si>
    <t>Ramo CVM 33 500   400</t>
  </si>
  <si>
    <t>3633500050</t>
  </si>
  <si>
    <t>Ramo CVM 33 500   500</t>
  </si>
  <si>
    <t>3633500060</t>
  </si>
  <si>
    <t>Ramo CVM 33 500   600</t>
  </si>
  <si>
    <t>3633500080</t>
  </si>
  <si>
    <t>Ramo CVM 33 500   800</t>
  </si>
  <si>
    <t>3633500100</t>
  </si>
  <si>
    <t>Ramo CVM 33 500 1000</t>
  </si>
  <si>
    <t>3633500120</t>
  </si>
  <si>
    <t>Ramo CVM 33 500 1200</t>
  </si>
  <si>
    <t>3633500140</t>
  </si>
  <si>
    <t>Ramo CVM 33 500 1400</t>
  </si>
  <si>
    <t>3633500160</t>
  </si>
  <si>
    <t>Ramo CVM 33 500 1600</t>
  </si>
  <si>
    <t>3633500180</t>
  </si>
  <si>
    <t>Ramo CVM 33 500 1800</t>
  </si>
  <si>
    <t>3633500200</t>
  </si>
  <si>
    <t>Ramo CVM 33 500 2000</t>
  </si>
  <si>
    <t>3633500230</t>
  </si>
  <si>
    <t>Ramo CVM 33 500 2300</t>
  </si>
  <si>
    <t>3633500260</t>
  </si>
  <si>
    <t>Ramo CVM 33 500 2600</t>
  </si>
  <si>
    <t>3633500300</t>
  </si>
  <si>
    <t>Ramo CVM 33 500 3000</t>
  </si>
  <si>
    <t>3633600040</t>
  </si>
  <si>
    <t>Ramo CVM 33 600   400</t>
  </si>
  <si>
    <t>3633600050</t>
  </si>
  <si>
    <t>Ramo CVM 33 600   500</t>
  </si>
  <si>
    <t>3633600060</t>
  </si>
  <si>
    <t>Ramo CVM 33 600   600</t>
  </si>
  <si>
    <t>3633600080</t>
  </si>
  <si>
    <t>Ramo CVM 33 600   800</t>
  </si>
  <si>
    <t>3633600100</t>
  </si>
  <si>
    <t>Ramo CVM 33 600 1000</t>
  </si>
  <si>
    <t>3633600120</t>
  </si>
  <si>
    <t>Ramo CVM 33 600 1200</t>
  </si>
  <si>
    <t>3633600140</t>
  </si>
  <si>
    <t>Ramo CVM 33 600 1400</t>
  </si>
  <si>
    <t>3633600160</t>
  </si>
  <si>
    <t>Ramo CVM 33 600 1600</t>
  </si>
  <si>
    <t>3633600180</t>
  </si>
  <si>
    <t>Ramo CVM 33 600 1800</t>
  </si>
  <si>
    <t>3633600200</t>
  </si>
  <si>
    <t>Ramo CVM 33 600 2000</t>
  </si>
  <si>
    <t>3633600230</t>
  </si>
  <si>
    <t>Ramo CVM 33 600 2300</t>
  </si>
  <si>
    <t>3633600260</t>
  </si>
  <si>
    <t>Ramo CVM 33 600 2600</t>
  </si>
  <si>
    <t>3633600300</t>
  </si>
  <si>
    <t>Ramo CVM 33 600 3000</t>
  </si>
  <si>
    <t>3633900040</t>
  </si>
  <si>
    <t>Ramo CVM 33 900   400</t>
  </si>
  <si>
    <t>3633900050</t>
  </si>
  <si>
    <t>Ramo CVM 33 900   500</t>
  </si>
  <si>
    <t>3633900060</t>
  </si>
  <si>
    <t>Ramo CVM 33 900   600</t>
  </si>
  <si>
    <t>3633900080</t>
  </si>
  <si>
    <t>Ramo CVM 33 900   800</t>
  </si>
  <si>
    <t>3633900100</t>
  </si>
  <si>
    <t>Ramo CVM 33 900 1000</t>
  </si>
  <si>
    <t>3633900120</t>
  </si>
  <si>
    <t>Ramo CVM 33 900 1200</t>
  </si>
  <si>
    <t>3633900140</t>
  </si>
  <si>
    <t>Ramo CVM 33 900 1400</t>
  </si>
  <si>
    <t>3633900160</t>
  </si>
  <si>
    <t>Ramo CVM 33 900 1600</t>
  </si>
  <si>
    <t>3633900180</t>
  </si>
  <si>
    <t>Ramo CVM 33 900 1800</t>
  </si>
  <si>
    <t>3633900200</t>
  </si>
  <si>
    <t>Ramo CVM 33 900 2000</t>
  </si>
  <si>
    <t>3811300040</t>
  </si>
  <si>
    <t>Flat CV 11 300   400</t>
  </si>
  <si>
    <t>3811300050</t>
  </si>
  <si>
    <t>Flat CV 11 300   500</t>
  </si>
  <si>
    <t>3811300060</t>
  </si>
  <si>
    <t>Flat CV 11 300   600</t>
  </si>
  <si>
    <t>3811300070</t>
  </si>
  <si>
    <t>Flat CV 11 300   700</t>
  </si>
  <si>
    <t>3811300080</t>
  </si>
  <si>
    <t>Flat CV 11 300   800</t>
  </si>
  <si>
    <t>3811300090</t>
  </si>
  <si>
    <t>Flat CV 11 300   900</t>
  </si>
  <si>
    <t>3811300100</t>
  </si>
  <si>
    <t>Flat CV 11 300 1000</t>
  </si>
  <si>
    <t>3811300110</t>
  </si>
  <si>
    <t>Flat CV 11 300 1100</t>
  </si>
  <si>
    <t>3811300120</t>
  </si>
  <si>
    <t>Flat CV 11 300 1200</t>
  </si>
  <si>
    <t>3811300140</t>
  </si>
  <si>
    <t>Flat CV 11 300 1400</t>
  </si>
  <si>
    <t>3811300160</t>
  </si>
  <si>
    <t>Flat CV 11 300 1600</t>
  </si>
  <si>
    <t>3811300180</t>
  </si>
  <si>
    <t>Flat CV 11 300 1800</t>
  </si>
  <si>
    <t>3811300200</t>
  </si>
  <si>
    <t>Flat CV 11 300 2000</t>
  </si>
  <si>
    <t>3811300230</t>
  </si>
  <si>
    <t>Flat CV 11 300 2300</t>
  </si>
  <si>
    <t>3811300260</t>
  </si>
  <si>
    <t>Flat CV 11 300 2600</t>
  </si>
  <si>
    <t>3811300300</t>
  </si>
  <si>
    <t>Flat CV 11 300 3000</t>
  </si>
  <si>
    <t>3811400040</t>
  </si>
  <si>
    <t>Flat CV 11 400   400</t>
  </si>
  <si>
    <t>3811400050</t>
  </si>
  <si>
    <t>Flat CV 11 400   500</t>
  </si>
  <si>
    <t>3811400060</t>
  </si>
  <si>
    <t>Flat CV 11 400   600</t>
  </si>
  <si>
    <t>3811400070</t>
  </si>
  <si>
    <t>Flat CV 11 400   700</t>
  </si>
  <si>
    <t>3811400080</t>
  </si>
  <si>
    <t>Flat CV 11 400   800</t>
  </si>
  <si>
    <t>3811400090</t>
  </si>
  <si>
    <t>Flat CV 11 400   900</t>
  </si>
  <si>
    <t>3811400100</t>
  </si>
  <si>
    <t>Flat CV 11 400 1000</t>
  </si>
  <si>
    <t>3811400110</t>
  </si>
  <si>
    <t>Flat CV 11 400 1100</t>
  </si>
  <si>
    <t>3811400120</t>
  </si>
  <si>
    <t>Flat CV 11 400 1200</t>
  </si>
  <si>
    <t>3811400140</t>
  </si>
  <si>
    <t>Flat CV 11 400 1400</t>
  </si>
  <si>
    <t>3811400160</t>
  </si>
  <si>
    <t>Flat CV 11 400 1600</t>
  </si>
  <si>
    <t>3811400180</t>
  </si>
  <si>
    <t>Flat CV 11 400 1800</t>
  </si>
  <si>
    <t>3811400200</t>
  </si>
  <si>
    <t>Flat CV 11 400 2000</t>
  </si>
  <si>
    <t>3811400230</t>
  </si>
  <si>
    <t>Flat CV 11 400 2300</t>
  </si>
  <si>
    <t>3811400260</t>
  </si>
  <si>
    <t>Flat CV 11 400 2600</t>
  </si>
  <si>
    <t>3811400300</t>
  </si>
  <si>
    <t>Flat CV 11 400 3000</t>
  </si>
  <si>
    <t>3811500040</t>
  </si>
  <si>
    <t>Flat CV 11 500   400</t>
  </si>
  <si>
    <t>3811500050</t>
  </si>
  <si>
    <t>Flat CV 11 500   500</t>
  </si>
  <si>
    <t>3811500060</t>
  </si>
  <si>
    <t>Flat CV 11 500   600</t>
  </si>
  <si>
    <t>3811500070</t>
  </si>
  <si>
    <t>Flat CV 11 500   700</t>
  </si>
  <si>
    <t>3811500080</t>
  </si>
  <si>
    <t>Flat CV 11 500   800</t>
  </si>
  <si>
    <t>3811500090</t>
  </si>
  <si>
    <t>Flat CV 11 500   900</t>
  </si>
  <si>
    <t>3811500100</t>
  </si>
  <si>
    <t>Flat CV 11 500 1000</t>
  </si>
  <si>
    <t>3811500110</t>
  </si>
  <si>
    <t>Flat CV 11 500 1100</t>
  </si>
  <si>
    <t>3811500120</t>
  </si>
  <si>
    <t>Flat CV 11 500 1200</t>
  </si>
  <si>
    <t>3811500140</t>
  </si>
  <si>
    <t>Flat CV 11 500 1400</t>
  </si>
  <si>
    <t>3811500160</t>
  </si>
  <si>
    <t>Flat CV 11 500 1600</t>
  </si>
  <si>
    <t>3811500180</t>
  </si>
  <si>
    <t>Flat CV 11 500 1800</t>
  </si>
  <si>
    <t>3811500200</t>
  </si>
  <si>
    <t>Flat CV 11 500 2000</t>
  </si>
  <si>
    <t>3811500230</t>
  </si>
  <si>
    <t>Flat CV 11 500 2300</t>
  </si>
  <si>
    <t>3811500260</t>
  </si>
  <si>
    <t>Flat CV 11 500 2600</t>
  </si>
  <si>
    <t>3811500300</t>
  </si>
  <si>
    <t>Flat CV 11 500 3000</t>
  </si>
  <si>
    <t>3811600040</t>
  </si>
  <si>
    <t>Flat CV 11 600   400</t>
  </si>
  <si>
    <t>3811600050</t>
  </si>
  <si>
    <t>Flat CV 11 600   500</t>
  </si>
  <si>
    <t>3811600060</t>
  </si>
  <si>
    <t>Flat CV 11 600   600</t>
  </si>
  <si>
    <t>3811600070</t>
  </si>
  <si>
    <t>Flat CV 11 600   700</t>
  </si>
  <si>
    <t>3811600080</t>
  </si>
  <si>
    <t>Flat CV 11 600   800</t>
  </si>
  <si>
    <t>3811600090</t>
  </si>
  <si>
    <t>Flat CV 11 600   900</t>
  </si>
  <si>
    <t>3811600100</t>
  </si>
  <si>
    <t>Flat CV 11 600 1000</t>
  </si>
  <si>
    <t>3811600110</t>
  </si>
  <si>
    <t>Flat CV 11 600 1100</t>
  </si>
  <si>
    <t>3811600120</t>
  </si>
  <si>
    <t>Flat CV 11 600 1200</t>
  </si>
  <si>
    <t>3811600140</t>
  </si>
  <si>
    <t>Flat CV 11 600 1400</t>
  </si>
  <si>
    <t>3811600160</t>
  </si>
  <si>
    <t>Flat CV 11 600 1600</t>
  </si>
  <si>
    <t>3811600180</t>
  </si>
  <si>
    <t>Flat CV 11 600 1800</t>
  </si>
  <si>
    <t>3811600200</t>
  </si>
  <si>
    <t>Flat CV 11 600 2000</t>
  </si>
  <si>
    <t>3811600230</t>
  </si>
  <si>
    <t>Flat CV 11 600 2300</t>
  </si>
  <si>
    <t>3811600260</t>
  </si>
  <si>
    <t>Flat CV 11 600 2600</t>
  </si>
  <si>
    <t>3811600300</t>
  </si>
  <si>
    <t>Flat CV 11 600 3000</t>
  </si>
  <si>
    <t>3811900040</t>
  </si>
  <si>
    <t>Flat CV 11 900   400</t>
  </si>
  <si>
    <t>3811900050</t>
  </si>
  <si>
    <t>Flat CV 11 900   500</t>
  </si>
  <si>
    <t>3811900060</t>
  </si>
  <si>
    <t>Flat CV 11 900   600</t>
  </si>
  <si>
    <t>3811900070</t>
  </si>
  <si>
    <t>Flat CV 11 900   700</t>
  </si>
  <si>
    <t>3811900080</t>
  </si>
  <si>
    <t>Flat CV 11 900   800</t>
  </si>
  <si>
    <t>3811900090</t>
  </si>
  <si>
    <t>Flat CV 11 900   900</t>
  </si>
  <si>
    <t>3811900100</t>
  </si>
  <si>
    <t>Flat CV 11 900 1000</t>
  </si>
  <si>
    <t>3811900110</t>
  </si>
  <si>
    <t>Flat CV 11 900 1100</t>
  </si>
  <si>
    <t>3811900120</t>
  </si>
  <si>
    <t>Flat CV 11 900 1200</t>
  </si>
  <si>
    <t>3811900140</t>
  </si>
  <si>
    <t>Flat CV 11 900 1400</t>
  </si>
  <si>
    <t>3811900160</t>
  </si>
  <si>
    <t>Flat CV 11 900 1600</t>
  </si>
  <si>
    <t>3811900180</t>
  </si>
  <si>
    <t>Flat CV 11 900 1800</t>
  </si>
  <si>
    <t>3811900200</t>
  </si>
  <si>
    <t>Flat CV 11 900 2000</t>
  </si>
  <si>
    <t>3821200060</t>
  </si>
  <si>
    <t>Flat CV 21 200   600</t>
  </si>
  <si>
    <t>3821200070</t>
  </si>
  <si>
    <t>Flat CV 21 200   700</t>
  </si>
  <si>
    <t>3821200080</t>
  </si>
  <si>
    <t>Flat CV 21 200   800</t>
  </si>
  <si>
    <t>3821200090</t>
  </si>
  <si>
    <t>Flat CV 21 200   900</t>
  </si>
  <si>
    <t>3821200100</t>
  </si>
  <si>
    <t>Flat CV 21 200 1000</t>
  </si>
  <si>
    <t>3821200110</t>
  </si>
  <si>
    <t>Flat CV 21 200 1100</t>
  </si>
  <si>
    <t>3821200120</t>
  </si>
  <si>
    <t>Flat CV 21 200 1200</t>
  </si>
  <si>
    <t>3821200140</t>
  </si>
  <si>
    <t>Flat CV 21 200 1400</t>
  </si>
  <si>
    <t>3821200160</t>
  </si>
  <si>
    <t>Flat CV 21 200 1600</t>
  </si>
  <si>
    <t>3821200180</t>
  </si>
  <si>
    <t>Flat CV 21 200 1800</t>
  </si>
  <si>
    <t>3821200200</t>
  </si>
  <si>
    <t>Flat CV 21 200 2000</t>
  </si>
  <si>
    <t>3821200230</t>
  </si>
  <si>
    <t>Flat CV 21 200 2300</t>
  </si>
  <si>
    <t>3821200260</t>
  </si>
  <si>
    <t>Flat CV 21 200 2600</t>
  </si>
  <si>
    <t>3821200300</t>
  </si>
  <si>
    <t>Flat CV 21 200 3000</t>
  </si>
  <si>
    <t>3821300040</t>
  </si>
  <si>
    <t>Flat CV 21 300   400</t>
  </si>
  <si>
    <t>3821300050</t>
  </si>
  <si>
    <t>Flat CV 21 300   500</t>
  </si>
  <si>
    <t>3821300060</t>
  </si>
  <si>
    <t>Flat CV 21 300   600</t>
  </si>
  <si>
    <t>3821300070</t>
  </si>
  <si>
    <t>Flat CV 21 300   700</t>
  </si>
  <si>
    <t>3821300080</t>
  </si>
  <si>
    <t>Flat CV 21 300   800</t>
  </si>
  <si>
    <t>3821300090</t>
  </si>
  <si>
    <t>Flat CV 21 300   900</t>
  </si>
  <si>
    <t>3821300100</t>
  </si>
  <si>
    <t>Flat CV 21 300 1000</t>
  </si>
  <si>
    <t>3821300110</t>
  </si>
  <si>
    <t>Flat CV 21 300 1100</t>
  </si>
  <si>
    <t>3821300120</t>
  </si>
  <si>
    <t>Flat CV 21 300 1200</t>
  </si>
  <si>
    <t>3821300140</t>
  </si>
  <si>
    <t>Flat CV 21 300 1400</t>
  </si>
  <si>
    <t>3821300160</t>
  </si>
  <si>
    <t>Flat CV 21 300 1600</t>
  </si>
  <si>
    <t>3821300180</t>
  </si>
  <si>
    <t>Flat CV 21 300 1800</t>
  </si>
  <si>
    <t>3821300200</t>
  </si>
  <si>
    <t>Flat CV 21 300 2000</t>
  </si>
  <si>
    <t>3821300230</t>
  </si>
  <si>
    <t>Flat CV 21 300 2300</t>
  </si>
  <si>
    <t>3821300260</t>
  </si>
  <si>
    <t>Flat CV 21 300 2600</t>
  </si>
  <si>
    <t>3821300300</t>
  </si>
  <si>
    <t>Flat CV 21 300 3000</t>
  </si>
  <si>
    <t>3821400040</t>
  </si>
  <si>
    <t>Flat CV 21 400   400</t>
  </si>
  <si>
    <t>3821400050</t>
  </si>
  <si>
    <t>Flat CV 21 400   500</t>
  </si>
  <si>
    <t>3821400060</t>
  </si>
  <si>
    <t>Flat CV 21 400   600</t>
  </si>
  <si>
    <t>3821400070</t>
  </si>
  <si>
    <t>Flat CV 21 400   700</t>
  </si>
  <si>
    <t>3821400080</t>
  </si>
  <si>
    <t>Flat CV 21 400   800</t>
  </si>
  <si>
    <t>3821400090</t>
  </si>
  <si>
    <t>Flat CV 21 400   900</t>
  </si>
  <si>
    <t>3821400100</t>
  </si>
  <si>
    <t>Flat CV 21 400 1000</t>
  </si>
  <si>
    <t>3821400110</t>
  </si>
  <si>
    <t>Flat CV 21 400 1100</t>
  </si>
  <si>
    <t>3821400120</t>
  </si>
  <si>
    <t>Flat CV 21 400 1200</t>
  </si>
  <si>
    <t>3821400140</t>
  </si>
  <si>
    <t>Flat CV 21 400 1400</t>
  </si>
  <si>
    <t>3821400160</t>
  </si>
  <si>
    <t>Flat CV 21 400 1600</t>
  </si>
  <si>
    <t>3821400180</t>
  </si>
  <si>
    <t>Flat CV 21 400 1800</t>
  </si>
  <si>
    <t>3821400200</t>
  </si>
  <si>
    <t>Flat CV 21 400 2000</t>
  </si>
  <si>
    <t>3821400230</t>
  </si>
  <si>
    <t>Flat CV 21 400 2300</t>
  </si>
  <si>
    <t>3821400260</t>
  </si>
  <si>
    <t>Flat CV 21 400 2600</t>
  </si>
  <si>
    <t>3821400300</t>
  </si>
  <si>
    <t>Flat CV 21 400 3000</t>
  </si>
  <si>
    <t>3821500040</t>
  </si>
  <si>
    <t>Flat CV 21 500   400</t>
  </si>
  <si>
    <t>3821500050</t>
  </si>
  <si>
    <t>Flat CV 21 500   500</t>
  </si>
  <si>
    <t>3821500060</t>
  </si>
  <si>
    <t>Flat CV 21 500   600</t>
  </si>
  <si>
    <t>3821500070</t>
  </si>
  <si>
    <t>Flat CV 21 500   700</t>
  </si>
  <si>
    <t>3821500080</t>
  </si>
  <si>
    <t>Flat CV 21 500   800</t>
  </si>
  <si>
    <t>3821500090</t>
  </si>
  <si>
    <t>Flat CV 21 500   900</t>
  </si>
  <si>
    <t>3821500100</t>
  </si>
  <si>
    <t>Flat CV 21 500 1000</t>
  </si>
  <si>
    <t>3821500110</t>
  </si>
  <si>
    <t>Flat CV 21 500 1100</t>
  </si>
  <si>
    <t>3821500120</t>
  </si>
  <si>
    <t>Flat CV 21 500 1200</t>
  </si>
  <si>
    <t>3821500140</t>
  </si>
  <si>
    <t>Flat CV 21 500 1400</t>
  </si>
  <si>
    <t>3821500160</t>
  </si>
  <si>
    <t>Flat CV 21 500 1600</t>
  </si>
  <si>
    <t>3821500180</t>
  </si>
  <si>
    <t>Flat CV 21 500 1800</t>
  </si>
  <si>
    <t>3821500200</t>
  </si>
  <si>
    <t>Flat CV 21 500 2000</t>
  </si>
  <si>
    <t>3821500230</t>
  </si>
  <si>
    <t>Flat CV 21 500 2300</t>
  </si>
  <si>
    <t>3821500260</t>
  </si>
  <si>
    <t>Flat CV 21 500 2600</t>
  </si>
  <si>
    <t>3821500300</t>
  </si>
  <si>
    <t>Flat CV 21 500 3000</t>
  </si>
  <si>
    <t>3821600040</t>
  </si>
  <si>
    <t>Flat CV 21 600   400</t>
  </si>
  <si>
    <t>3821600050</t>
  </si>
  <si>
    <t>Flat CV 21 600   500</t>
  </si>
  <si>
    <t>3821600060</t>
  </si>
  <si>
    <t>Flat CV 21 600   600</t>
  </si>
  <si>
    <t>3821600070</t>
  </si>
  <si>
    <t>Flat CV 21 600   700</t>
  </si>
  <si>
    <t>3821600080</t>
  </si>
  <si>
    <t>Flat CV 21 600   800</t>
  </si>
  <si>
    <t>3821600090</t>
  </si>
  <si>
    <t>Flat CV 21 600   900</t>
  </si>
  <si>
    <t>3821600100</t>
  </si>
  <si>
    <t>Flat CV 21 600 1000</t>
  </si>
  <si>
    <t>3821600110</t>
  </si>
  <si>
    <t>Flat CV 21 600 1100</t>
  </si>
  <si>
    <t>3821600120</t>
  </si>
  <si>
    <t>Flat CV 21 600 1200</t>
  </si>
  <si>
    <t>3821600140</t>
  </si>
  <si>
    <t>Flat CV 21 600 1400</t>
  </si>
  <si>
    <t>3821600160</t>
  </si>
  <si>
    <t>Flat CV 21 600 1600</t>
  </si>
  <si>
    <t>3821600180</t>
  </si>
  <si>
    <t>Flat CV 21 600 1800</t>
  </si>
  <si>
    <t>3821600200</t>
  </si>
  <si>
    <t>Flat CV 21 600 2000</t>
  </si>
  <si>
    <t>3821600230</t>
  </si>
  <si>
    <t>Flat CV 21 600 2300</t>
  </si>
  <si>
    <t>3821600260</t>
  </si>
  <si>
    <t>Flat CV 21 600 2600</t>
  </si>
  <si>
    <t>3821600300</t>
  </si>
  <si>
    <t>Flat CV 21 600 3000</t>
  </si>
  <si>
    <t>3821900040</t>
  </si>
  <si>
    <t>Flat CV 21 900   400</t>
  </si>
  <si>
    <t>3821900050</t>
  </si>
  <si>
    <t>Flat CV 21 900   500</t>
  </si>
  <si>
    <t>3821900060</t>
  </si>
  <si>
    <t>Flat CV 21 900   600</t>
  </si>
  <si>
    <t>3821900070</t>
  </si>
  <si>
    <t>Flat CV 21 900   700</t>
  </si>
  <si>
    <t>3821900080</t>
  </si>
  <si>
    <t>Flat CV 21 900   800</t>
  </si>
  <si>
    <t>3821900090</t>
  </si>
  <si>
    <t>Flat CV 21 900   900</t>
  </si>
  <si>
    <t>3821900100</t>
  </si>
  <si>
    <t>Flat CV 21 900 1000</t>
  </si>
  <si>
    <t>3821900110</t>
  </si>
  <si>
    <t>Flat CV 21 900 1100</t>
  </si>
  <si>
    <t>3821900120</t>
  </si>
  <si>
    <t>Flat CV 21 900 1200</t>
  </si>
  <si>
    <t>3821900140</t>
  </si>
  <si>
    <t>Flat CV 21 900 1400</t>
  </si>
  <si>
    <t>3821900160</t>
  </si>
  <si>
    <t>Flat CV 21 900 1600</t>
  </si>
  <si>
    <t>3821900180</t>
  </si>
  <si>
    <t>Flat CV 21 900 1800</t>
  </si>
  <si>
    <t>3821900200</t>
  </si>
  <si>
    <t>Flat CV 21 900 2000</t>
  </si>
  <si>
    <t>3822200060</t>
  </si>
  <si>
    <t>Flat CV 22 200   600</t>
  </si>
  <si>
    <t>3822200070</t>
  </si>
  <si>
    <t>Flat CV 22 200   700</t>
  </si>
  <si>
    <t>3822200080</t>
  </si>
  <si>
    <t>Flat CV 22 200   800</t>
  </si>
  <si>
    <t>3822200090</t>
  </si>
  <si>
    <t>Flat CV 22 200   900</t>
  </si>
  <si>
    <t>3822200100</t>
  </si>
  <si>
    <t>Flat CV 22 200 1000</t>
  </si>
  <si>
    <t>3822200110</t>
  </si>
  <si>
    <t>Flat CV 22 200 1100</t>
  </si>
  <si>
    <t>3822200120</t>
  </si>
  <si>
    <t>Flat CV 22 200 1200</t>
  </si>
  <si>
    <t>3822200140</t>
  </si>
  <si>
    <t>Flat CV 22 200 1400</t>
  </si>
  <si>
    <t>3822200160</t>
  </si>
  <si>
    <t>Flat CV 22 200 1600</t>
  </si>
  <si>
    <t>3822200180</t>
  </si>
  <si>
    <t>Flat CV 22 200 1800</t>
  </si>
  <si>
    <t>3822200200</t>
  </si>
  <si>
    <t>Flat CV 22 200 2000</t>
  </si>
  <si>
    <t>3822200230</t>
  </si>
  <si>
    <t>Flat CV 22 200 2300</t>
  </si>
  <si>
    <t>3822200260</t>
  </si>
  <si>
    <t>Flat CV 22 200 2600</t>
  </si>
  <si>
    <t>3822200300</t>
  </si>
  <si>
    <t>Flat CV 22 200 3000</t>
  </si>
  <si>
    <t>3822300040</t>
  </si>
  <si>
    <t>Flat CV 22 300   400</t>
  </si>
  <si>
    <t>3822300050</t>
  </si>
  <si>
    <t>Flat CV 22 300   500</t>
  </si>
  <si>
    <t>3822300060</t>
  </si>
  <si>
    <t>Flat CV 22 300   600</t>
  </si>
  <si>
    <t>3822300070</t>
  </si>
  <si>
    <t>Flat CV 22 300   700</t>
  </si>
  <si>
    <t>3822300080</t>
  </si>
  <si>
    <t>Flat CV 22 300   800</t>
  </si>
  <si>
    <t>3822300090</t>
  </si>
  <si>
    <t>Flat CV 22 300   900</t>
  </si>
  <si>
    <t>3822300100</t>
  </si>
  <si>
    <t>Flat CV 22 300 1000</t>
  </si>
  <si>
    <t>3822300110</t>
  </si>
  <si>
    <t>Flat CV 22 300 1100</t>
  </si>
  <si>
    <t>3822300120</t>
  </si>
  <si>
    <t>Flat CV 22 300 1200</t>
  </si>
  <si>
    <t>3822300140</t>
  </si>
  <si>
    <t>Flat CV 22 300 1400</t>
  </si>
  <si>
    <t>3822300160</t>
  </si>
  <si>
    <t>Flat CV 22 300 1600</t>
  </si>
  <si>
    <t>3822300180</t>
  </si>
  <si>
    <t>Flat CV 22 300 1800</t>
  </si>
  <si>
    <t>3822300200</t>
  </si>
  <si>
    <t>Flat CV 22 300 2000</t>
  </si>
  <si>
    <t>3822300230</t>
  </si>
  <si>
    <t>Flat CV 22 300 2300</t>
  </si>
  <si>
    <t>3822300260</t>
  </si>
  <si>
    <t>Flat CV 22 300 2600</t>
  </si>
  <si>
    <t>3822300300</t>
  </si>
  <si>
    <t>Flat CV 22 300 3000</t>
  </si>
  <si>
    <t>3822400040</t>
  </si>
  <si>
    <t>Flat CV 22 400   400</t>
  </si>
  <si>
    <t>3822400050</t>
  </si>
  <si>
    <t>Flat CV 22 400   500</t>
  </si>
  <si>
    <t>3822400060</t>
  </si>
  <si>
    <t>Flat CV 22 400   600</t>
  </si>
  <si>
    <t>3822400070</t>
  </si>
  <si>
    <t>Flat CV 22 400   700</t>
  </si>
  <si>
    <t>3822400080</t>
  </si>
  <si>
    <t>Flat CV 22 400   800</t>
  </si>
  <si>
    <t>3822400090</t>
  </si>
  <si>
    <t>Flat CV 22 400   900</t>
  </si>
  <si>
    <t>3822400100</t>
  </si>
  <si>
    <t>Flat CV 22 400 1000</t>
  </si>
  <si>
    <t>3822400110</t>
  </si>
  <si>
    <t>Flat CV 22 400 1100</t>
  </si>
  <si>
    <t>3822400120</t>
  </si>
  <si>
    <t>Flat CV 22 400 1200</t>
  </si>
  <si>
    <t>3822400140</t>
  </si>
  <si>
    <t>Flat CV 22 400 1400</t>
  </si>
  <si>
    <t>3822400160</t>
  </si>
  <si>
    <t>Flat CV 22 400 1600</t>
  </si>
  <si>
    <t>3822400180</t>
  </si>
  <si>
    <t>Flat CV 22 400 1800</t>
  </si>
  <si>
    <t>3822400200</t>
  </si>
  <si>
    <t>Flat CV 22 400 2000</t>
  </si>
  <si>
    <t>3822400230</t>
  </si>
  <si>
    <t>Flat CV 22 400 2300</t>
  </si>
  <si>
    <t>3822400260</t>
  </si>
  <si>
    <t>Flat CV 22 400 2600</t>
  </si>
  <si>
    <t>3822400300</t>
  </si>
  <si>
    <t>Flat CV 22 400 3000</t>
  </si>
  <si>
    <t>3822500040</t>
  </si>
  <si>
    <t>Flat CV 22 500   400</t>
  </si>
  <si>
    <t>3822500050</t>
  </si>
  <si>
    <t>Flat CV 22 500   500</t>
  </si>
  <si>
    <t>3822500060</t>
  </si>
  <si>
    <t>Flat CV 22 500   600</t>
  </si>
  <si>
    <t>3822500070</t>
  </si>
  <si>
    <t>Flat CV 22 500   700</t>
  </si>
  <si>
    <t>3822500080</t>
  </si>
  <si>
    <t>Flat CV 22 500   800</t>
  </si>
  <si>
    <t>3822500090</t>
  </si>
  <si>
    <t>Flat CV 22 500   900</t>
  </si>
  <si>
    <t>3822500100</t>
  </si>
  <si>
    <t>Flat CV 22 500 1000</t>
  </si>
  <si>
    <t>3822500110</t>
  </si>
  <si>
    <t>Flat CV 22 500 1100</t>
  </si>
  <si>
    <t>3822500120</t>
  </si>
  <si>
    <t>Flat CV 22 500 1200</t>
  </si>
  <si>
    <t>3822500140</t>
  </si>
  <si>
    <t>Flat CV 22 500 1400</t>
  </si>
  <si>
    <t>3822500160</t>
  </si>
  <si>
    <t>Flat CV 22 500 1600</t>
  </si>
  <si>
    <t>3822500180</t>
  </si>
  <si>
    <t>Flat CV 22 500 1800</t>
  </si>
  <si>
    <t>3822500200</t>
  </si>
  <si>
    <t>Flat CV 22 500 2000</t>
  </si>
  <si>
    <t>3822500230</t>
  </si>
  <si>
    <t>Flat CV 22 500 2300</t>
  </si>
  <si>
    <t>3822500260</t>
  </si>
  <si>
    <t>Flat CV 22 500 2600</t>
  </si>
  <si>
    <t>3822500300</t>
  </si>
  <si>
    <t>Flat CV 22 500 3000</t>
  </si>
  <si>
    <t>3822600040</t>
  </si>
  <si>
    <t>Flat CV 22 600   400</t>
  </si>
  <si>
    <t>3822600050</t>
  </si>
  <si>
    <t>Flat CV 22 600   500</t>
  </si>
  <si>
    <t>3822600060</t>
  </si>
  <si>
    <t>Flat CV 22 600   600</t>
  </si>
  <si>
    <t>3822600070</t>
  </si>
  <si>
    <t>Flat CV 22 600   700</t>
  </si>
  <si>
    <t>3822600080</t>
  </si>
  <si>
    <t>Flat CV 22 600   800</t>
  </si>
  <si>
    <t>3822600090</t>
  </si>
  <si>
    <t>Flat CV 22 600   900</t>
  </si>
  <si>
    <t>3822600100</t>
  </si>
  <si>
    <t>Flat CV 22 600 1000</t>
  </si>
  <si>
    <t>3822600110</t>
  </si>
  <si>
    <t>Flat CV 22 600 1100</t>
  </si>
  <si>
    <t>3822600120</t>
  </si>
  <si>
    <t>Flat CV 22 600 1200</t>
  </si>
  <si>
    <t>3822600140</t>
  </si>
  <si>
    <t>Flat CV 22 600 1400</t>
  </si>
  <si>
    <t>3822600160</t>
  </si>
  <si>
    <t>Flat CV 22 600 1600</t>
  </si>
  <si>
    <t>3822600180</t>
  </si>
  <si>
    <t>Flat CV 22 600 1800</t>
  </si>
  <si>
    <t>3822600200</t>
  </si>
  <si>
    <t>Flat CV 22 600 2000</t>
  </si>
  <si>
    <t>3822600230</t>
  </si>
  <si>
    <t>Flat CV 22 600 2300</t>
  </si>
  <si>
    <t>3822600260</t>
  </si>
  <si>
    <t>Flat CV 22 600 2600</t>
  </si>
  <si>
    <t>3822600300</t>
  </si>
  <si>
    <t>Flat CV 22 600 3000</t>
  </si>
  <si>
    <t>3822900040</t>
  </si>
  <si>
    <t>Flat CV 22 900   400</t>
  </si>
  <si>
    <t>3822900050</t>
  </si>
  <si>
    <t>Flat CV 22 900   500</t>
  </si>
  <si>
    <t>3822900060</t>
  </si>
  <si>
    <t>Flat CV 22 900   600</t>
  </si>
  <si>
    <t>3822900070</t>
  </si>
  <si>
    <t>Flat CV 22 900   700</t>
  </si>
  <si>
    <t>3822900080</t>
  </si>
  <si>
    <t>Flat CV 22 900   800</t>
  </si>
  <si>
    <t>3822900090</t>
  </si>
  <si>
    <t>Flat CV 22 900   900</t>
  </si>
  <si>
    <t>3822900100</t>
  </si>
  <si>
    <t>Flat CV 22 900 1000</t>
  </si>
  <si>
    <t>3822900110</t>
  </si>
  <si>
    <t>Flat CV 22 900 1100</t>
  </si>
  <si>
    <t>3822900120</t>
  </si>
  <si>
    <t>Flat CV 22 900 1200</t>
  </si>
  <si>
    <t>3822900140</t>
  </si>
  <si>
    <t>Flat CV 22 900 1400</t>
  </si>
  <si>
    <t>3822900160</t>
  </si>
  <si>
    <t>Flat CV 22 900 1600</t>
  </si>
  <si>
    <t>3822900180</t>
  </si>
  <si>
    <t>Flat CV 22 900 1800</t>
  </si>
  <si>
    <t>3822900200</t>
  </si>
  <si>
    <t>Flat CV 22 900 2000</t>
  </si>
  <si>
    <t>3833200060</t>
  </si>
  <si>
    <t>Flat CV 33 200   600</t>
  </si>
  <si>
    <t>3833200070</t>
  </si>
  <si>
    <t>Flat CV 33 200   700</t>
  </si>
  <si>
    <t>3833200080</t>
  </si>
  <si>
    <t>Flat CV 33 200   800</t>
  </si>
  <si>
    <t>3833200090</t>
  </si>
  <si>
    <t>Flat CV 33 200   900</t>
  </si>
  <si>
    <t>3833200100</t>
  </si>
  <si>
    <t>Flat CV 33 200 1000</t>
  </si>
  <si>
    <t>3833200110</t>
  </si>
  <si>
    <t>Flat CV 33 200 1100</t>
  </si>
  <si>
    <t>3833200120</t>
  </si>
  <si>
    <t>Flat CV 33 200 1200</t>
  </si>
  <si>
    <t>3833200140</t>
  </si>
  <si>
    <t>Flat CV 33 200 1400</t>
  </si>
  <si>
    <t>3833200160</t>
  </si>
  <si>
    <t>Flat CV 33 200 1600</t>
  </si>
  <si>
    <t>3833200180</t>
  </si>
  <si>
    <t>Flat CV 33 200 1800</t>
  </si>
  <si>
    <t>3833200200</t>
  </si>
  <si>
    <t>Flat CV 33 200 2000</t>
  </si>
  <si>
    <t>3833200230</t>
  </si>
  <si>
    <t>Flat CV 33 200 2300</t>
  </si>
  <si>
    <t>3833200260</t>
  </si>
  <si>
    <t>Flat CV 33 200 2600</t>
  </si>
  <si>
    <t>3833200300</t>
  </si>
  <si>
    <t>Flat CV 33 200 3000</t>
  </si>
  <si>
    <t>3833300040</t>
  </si>
  <si>
    <t>Flat CV 33 300   400</t>
  </si>
  <si>
    <t>3833300050</t>
  </si>
  <si>
    <t>Flat CV 33 300   500</t>
  </si>
  <si>
    <t>3833300060</t>
  </si>
  <si>
    <t>Flat CV 33 300   600</t>
  </si>
  <si>
    <t>3833300070</t>
  </si>
  <si>
    <t>Flat CV 33 300   700</t>
  </si>
  <si>
    <t>3833300080</t>
  </si>
  <si>
    <t>Flat CV 33 300   800</t>
  </si>
  <si>
    <t>3833300090</t>
  </si>
  <si>
    <t>Flat CV 33 300   900</t>
  </si>
  <si>
    <t>3833300100</t>
  </si>
  <si>
    <t>Flat CV 33 300 1000</t>
  </si>
  <si>
    <t>3833300110</t>
  </si>
  <si>
    <t>Flat CV 33 300 1100</t>
  </si>
  <si>
    <t>3833300120</t>
  </si>
  <si>
    <t>Flat CV 33 300 1200</t>
  </si>
  <si>
    <t>3833300140</t>
  </si>
  <si>
    <t>Flat CV 33 300 1400</t>
  </si>
  <si>
    <t>3833300160</t>
  </si>
  <si>
    <t>Flat CV 33 300 1600</t>
  </si>
  <si>
    <t>3833300180</t>
  </si>
  <si>
    <t>Flat CV 33 300 1800</t>
  </si>
  <si>
    <t>3833300200</t>
  </si>
  <si>
    <t>Flat CV 33 300 2000</t>
  </si>
  <si>
    <t>3833300230</t>
  </si>
  <si>
    <t>Flat CV 33 300 2300</t>
  </si>
  <si>
    <t>3833300260</t>
  </si>
  <si>
    <t>Flat CV 33 300 2600</t>
  </si>
  <si>
    <t>3833300300</t>
  </si>
  <si>
    <t>Flat CV 33 300 3000</t>
  </si>
  <si>
    <t>3833400040</t>
  </si>
  <si>
    <t>Flat CV 33 400   400</t>
  </si>
  <si>
    <t>3833400050</t>
  </si>
  <si>
    <t>Flat CV 33 400   500</t>
  </si>
  <si>
    <t>3833400060</t>
  </si>
  <si>
    <t>Flat CV 33 400   600</t>
  </si>
  <si>
    <t>3833400070</t>
  </si>
  <si>
    <t>Flat CV 33 400   700</t>
  </si>
  <si>
    <t>3833400080</t>
  </si>
  <si>
    <t>Flat CV 33 400   800</t>
  </si>
  <si>
    <t>3833400090</t>
  </si>
  <si>
    <t>Flat CV 33 400   900</t>
  </si>
  <si>
    <t>3833400100</t>
  </si>
  <si>
    <t>Flat CV 33 400 1000</t>
  </si>
  <si>
    <t>3833400110</t>
  </si>
  <si>
    <t>Flat CV 33 400 1100</t>
  </si>
  <si>
    <t>3833400120</t>
  </si>
  <si>
    <t>Flat CV 33 400 1200</t>
  </si>
  <si>
    <t>3833400140</t>
  </si>
  <si>
    <t>Flat CV 33 400 1400</t>
  </si>
  <si>
    <t>3833400160</t>
  </si>
  <si>
    <t>Flat CV 33 400 1600</t>
  </si>
  <si>
    <t>3833400180</t>
  </si>
  <si>
    <t>Flat CV 33 400 1800</t>
  </si>
  <si>
    <t>3833400200</t>
  </si>
  <si>
    <t>Flat CV 33 400 2000</t>
  </si>
  <si>
    <t>3833400230</t>
  </si>
  <si>
    <t>Flat CV 33 400 2300</t>
  </si>
  <si>
    <t>3833400260</t>
  </si>
  <si>
    <t>Flat CV 33 400 2600</t>
  </si>
  <si>
    <t>3833400300</t>
  </si>
  <si>
    <t>Flat CV 33 400 3000</t>
  </si>
  <si>
    <t>3833500040</t>
  </si>
  <si>
    <t>Flat CV 33 500   400</t>
  </si>
  <si>
    <t>3833500050</t>
  </si>
  <si>
    <t>Flat CV 33 500   500</t>
  </si>
  <si>
    <t>3833500060</t>
  </si>
  <si>
    <t>Flat CV 33 500   600</t>
  </si>
  <si>
    <t>3833500070</t>
  </si>
  <si>
    <t>Flat CV 33 500   700</t>
  </si>
  <si>
    <t>3833500080</t>
  </si>
  <si>
    <t>Flat CV 33 500   800</t>
  </si>
  <si>
    <t>3833500090</t>
  </si>
  <si>
    <t>Flat CV 33 500   900</t>
  </si>
  <si>
    <t>3833500100</t>
  </si>
  <si>
    <t>Flat CV 33 500 1000</t>
  </si>
  <si>
    <t>3833500110</t>
  </si>
  <si>
    <t>Flat CV 33 500 1100</t>
  </si>
  <si>
    <t>3833500120</t>
  </si>
  <si>
    <t>Flat CV 33 500 1200</t>
  </si>
  <si>
    <t>3833500140</t>
  </si>
  <si>
    <t>Flat CV 33 500 1400</t>
  </si>
  <si>
    <t>3833500160</t>
  </si>
  <si>
    <t>Flat CV 33 500 1600</t>
  </si>
  <si>
    <t>3833500180</t>
  </si>
  <si>
    <t>Flat CV 33 500 1800</t>
  </si>
  <si>
    <t>3833500200</t>
  </si>
  <si>
    <t>Flat CV 33 500 2000</t>
  </si>
  <si>
    <t>3833500230</t>
  </si>
  <si>
    <t>Flat CV 33 500 2300</t>
  </si>
  <si>
    <t>3833500260</t>
  </si>
  <si>
    <t>Flat CV 33 500 2600</t>
  </si>
  <si>
    <t>3833500300</t>
  </si>
  <si>
    <t>Flat CV 33 500 3000</t>
  </si>
  <si>
    <t>3833600040</t>
  </si>
  <si>
    <t>Flat CV 33 600   400</t>
  </si>
  <si>
    <t>3833600050</t>
  </si>
  <si>
    <t>Flat CV 33 600   500</t>
  </si>
  <si>
    <t>3833600060</t>
  </si>
  <si>
    <t>Flat CV 33 600   600</t>
  </si>
  <si>
    <t>3833600070</t>
  </si>
  <si>
    <t>Flat CV 33 600   700</t>
  </si>
  <si>
    <t>3833600080</t>
  </si>
  <si>
    <t>Flat CV 33 600   800</t>
  </si>
  <si>
    <t>3833600090</t>
  </si>
  <si>
    <t>Flat CV 33 600   900</t>
  </si>
  <si>
    <t>3833600100</t>
  </si>
  <si>
    <t>Flat CV 33 600 1000</t>
  </si>
  <si>
    <t>3833600110</t>
  </si>
  <si>
    <t>Flat CV 33 600 1100</t>
  </si>
  <si>
    <t>3833600120</t>
  </si>
  <si>
    <t>Flat CV 33 600 1200</t>
  </si>
  <si>
    <t>3833600140</t>
  </si>
  <si>
    <t>Flat CV 33 600 1400</t>
  </si>
  <si>
    <t>3833600160</t>
  </si>
  <si>
    <t>Flat CV 33 600 1600</t>
  </si>
  <si>
    <t>3833600180</t>
  </si>
  <si>
    <t>Flat CV 33 600 1800</t>
  </si>
  <si>
    <t>3833600200</t>
  </si>
  <si>
    <t>Flat CV 33 600 2000</t>
  </si>
  <si>
    <t>3833600230</t>
  </si>
  <si>
    <t>Flat CV 33 600 2300</t>
  </si>
  <si>
    <t>3833600260</t>
  </si>
  <si>
    <t>Flat CV 33 600 2600</t>
  </si>
  <si>
    <t>3833600300</t>
  </si>
  <si>
    <t>Flat CV 33 600 3000</t>
  </si>
  <si>
    <t>3833900040</t>
  </si>
  <si>
    <t>Flat CV 33 900   400</t>
  </si>
  <si>
    <t>3833900050</t>
  </si>
  <si>
    <t>Flat CV 33 900   500</t>
  </si>
  <si>
    <t>3833900060</t>
  </si>
  <si>
    <t>Flat CV 33 900   600</t>
  </si>
  <si>
    <t>3833900070</t>
  </si>
  <si>
    <t>Flat CV 33 900   700</t>
  </si>
  <si>
    <t>3833900080</t>
  </si>
  <si>
    <t>Flat CV 33 900   800</t>
  </si>
  <si>
    <t>3833900090</t>
  </si>
  <si>
    <t>Flat CV 33 900   900</t>
  </si>
  <si>
    <t>3833900100</t>
  </si>
  <si>
    <t>Flat CV 33 900 1000</t>
  </si>
  <si>
    <t>3833900110</t>
  </si>
  <si>
    <t>Flat CV 33 900 1100</t>
  </si>
  <si>
    <t>3833900120</t>
  </si>
  <si>
    <t>Flat CV 33 900 1200</t>
  </si>
  <si>
    <t>3833900140</t>
  </si>
  <si>
    <t>Flat CV 33 900 1400</t>
  </si>
  <si>
    <t>3833900160</t>
  </si>
  <si>
    <t>Flat CV 33 900 1600</t>
  </si>
  <si>
    <t>3833900180</t>
  </si>
  <si>
    <t>Flat CV 33 900 1800</t>
  </si>
  <si>
    <t>3833900200</t>
  </si>
  <si>
    <t>Flat CV 33 900 2000</t>
  </si>
  <si>
    <t>3844200060</t>
  </si>
  <si>
    <t>Flat CV 44 200   600</t>
  </si>
  <si>
    <t>3844200070</t>
  </si>
  <si>
    <t>Flat CV 44 200   700</t>
  </si>
  <si>
    <t>3844200080</t>
  </si>
  <si>
    <t>Flat CV 44 200   800</t>
  </si>
  <si>
    <t>3844200090</t>
  </si>
  <si>
    <t>Flat CV 44 200   900</t>
  </si>
  <si>
    <t>3844200100</t>
  </si>
  <si>
    <t>Flat CV 44 200 1000</t>
  </si>
  <si>
    <t>3844200110</t>
  </si>
  <si>
    <t>Flat CV 44 200 1100</t>
  </si>
  <si>
    <t>3844200120</t>
  </si>
  <si>
    <t>Flat CV 44 200 1200</t>
  </si>
  <si>
    <t>3844200140</t>
  </si>
  <si>
    <t>Flat CV 44 200 1400</t>
  </si>
  <si>
    <t>3844200160</t>
  </si>
  <si>
    <t>Flat CV 44 200 1600</t>
  </si>
  <si>
    <t>3844200180</t>
  </si>
  <si>
    <t>Flat CV 44 200 1800</t>
  </si>
  <si>
    <t>3844200200</t>
  </si>
  <si>
    <t>Flat CV 44 200 2000</t>
  </si>
  <si>
    <t>3844200230</t>
  </si>
  <si>
    <t>Flat CV 44 200 2300</t>
  </si>
  <si>
    <t>3844200260</t>
  </si>
  <si>
    <t>Flat CV 44 200 2600</t>
  </si>
  <si>
    <t>3844200300</t>
  </si>
  <si>
    <t>Flat CV 44 200 3000</t>
  </si>
  <si>
    <t>3921200060</t>
  </si>
  <si>
    <t>Flat FCV 21 200   600</t>
  </si>
  <si>
    <t>3921200070</t>
  </si>
  <si>
    <t>Flat FCV 21 200   700</t>
  </si>
  <si>
    <t>3921200080</t>
  </si>
  <si>
    <t>Flat FCV 21 200   800</t>
  </si>
  <si>
    <t>3921200090</t>
  </si>
  <si>
    <t>Flat FCV 21 200   900</t>
  </si>
  <si>
    <t>3921200100</t>
  </si>
  <si>
    <t>Flat FCV 21 200 1000</t>
  </si>
  <si>
    <t>3921200110</t>
  </si>
  <si>
    <t>Flat FCV 21 200 1100</t>
  </si>
  <si>
    <t>3921200120</t>
  </si>
  <si>
    <t>Flat FCV 21 200 1200</t>
  </si>
  <si>
    <t>3921200140</t>
  </si>
  <si>
    <t>Flat FCV 21 200 1400</t>
  </si>
  <si>
    <t>3921200160</t>
  </si>
  <si>
    <t>Flat FCV 21 200 1600</t>
  </si>
  <si>
    <t>3921200180</t>
  </si>
  <si>
    <t>Flat FCV 21 200 1800</t>
  </si>
  <si>
    <t>3921200200</t>
  </si>
  <si>
    <t>Flat FCV 21 200 2000</t>
  </si>
  <si>
    <t>3921200230</t>
  </si>
  <si>
    <t>Flat FCV 21 200 2300</t>
  </si>
  <si>
    <t>3921200260</t>
  </si>
  <si>
    <t>Flat FCV 21 200 2600</t>
  </si>
  <si>
    <t>3921200300</t>
  </si>
  <si>
    <t>Flat FCV 21 200 3000</t>
  </si>
  <si>
    <t>3922200060</t>
  </si>
  <si>
    <t>Flat FCV 22 200   600</t>
  </si>
  <si>
    <t>3922200070</t>
  </si>
  <si>
    <t>Flat FCV 22 200   700</t>
  </si>
  <si>
    <t>3922200080</t>
  </si>
  <si>
    <t>Flat FCV 22 200   800</t>
  </si>
  <si>
    <t>3922200090</t>
  </si>
  <si>
    <t>Flat FCV 22 200   900</t>
  </si>
  <si>
    <t>3922200100</t>
  </si>
  <si>
    <t>Flat FCV 22 200 1000</t>
  </si>
  <si>
    <t>3922200110</t>
  </si>
  <si>
    <t>Flat FCV 22 200 1100</t>
  </si>
  <si>
    <t>3922200120</t>
  </si>
  <si>
    <t>Flat FCV 22 200 1200</t>
  </si>
  <si>
    <t>3922200140</t>
  </si>
  <si>
    <t>Flat FCV 22 200 1400</t>
  </si>
  <si>
    <t>3922200160</t>
  </si>
  <si>
    <t>Flat FCV 22 200 1600</t>
  </si>
  <si>
    <t>3922200180</t>
  </si>
  <si>
    <t>Flat FCV 22 200 1800</t>
  </si>
  <si>
    <t>3922200200</t>
  </si>
  <si>
    <t>Flat FCV 22 200 2000</t>
  </si>
  <si>
    <t>3922200230</t>
  </si>
  <si>
    <t>Flat FCV 22 200 2300</t>
  </si>
  <si>
    <t>3922200260</t>
  </si>
  <si>
    <t>Flat FCV 22 200 2600</t>
  </si>
  <si>
    <t>3922200300</t>
  </si>
  <si>
    <t>Flat FCV 22 200 3000</t>
  </si>
  <si>
    <t>3933200060</t>
  </si>
  <si>
    <t>Flat FCV 33 200   600</t>
  </si>
  <si>
    <t>3933200070</t>
  </si>
  <si>
    <t>Flat FCV 33 200   700</t>
  </si>
  <si>
    <t>3933200080</t>
  </si>
  <si>
    <t>Flat FCV 33 200   800</t>
  </si>
  <si>
    <t>3933200090</t>
  </si>
  <si>
    <t>Flat FCV 33 200   900</t>
  </si>
  <si>
    <t>3933200100</t>
  </si>
  <si>
    <t>Flat FCV 33 200 1000</t>
  </si>
  <si>
    <t>3933200110</t>
  </si>
  <si>
    <t>Flat FCV 33 200 1100</t>
  </si>
  <si>
    <t>3933200120</t>
  </si>
  <si>
    <t>Flat FCV 33 200 1200</t>
  </si>
  <si>
    <t>3933200140</t>
  </si>
  <si>
    <t>Flat FCV 33 200 1400</t>
  </si>
  <si>
    <t>3933200160</t>
  </si>
  <si>
    <t>Flat FCV 33 200 1600</t>
  </si>
  <si>
    <t>3933200180</t>
  </si>
  <si>
    <t>Flat FCV 33 200 1800</t>
  </si>
  <si>
    <t>3933200200</t>
  </si>
  <si>
    <t>Flat FCV 33 200 2000</t>
  </si>
  <si>
    <t>3933200230</t>
  </si>
  <si>
    <t>Flat FCV 33 200 2300</t>
  </si>
  <si>
    <t>3933200260</t>
  </si>
  <si>
    <t>Flat FCV 33 200 2600</t>
  </si>
  <si>
    <t>3933200300</t>
  </si>
  <si>
    <t>Flat FCV 33 200 3000</t>
  </si>
  <si>
    <t>3944200060</t>
  </si>
  <si>
    <t>Flat FCV 44 200   600</t>
  </si>
  <si>
    <t>3944200070</t>
  </si>
  <si>
    <t>Flat FCV 44 200   700</t>
  </si>
  <si>
    <t>3944200080</t>
  </si>
  <si>
    <t>Flat FCV 44 200   800</t>
  </si>
  <si>
    <t>3944200090</t>
  </si>
  <si>
    <t>Flat FCV 44 200   900</t>
  </si>
  <si>
    <t>3944200100</t>
  </si>
  <si>
    <t>Flat FCV 44 200 1000</t>
  </si>
  <si>
    <t>3944200110</t>
  </si>
  <si>
    <t>Flat FCV 44 200 1100</t>
  </si>
  <si>
    <t>3944200120</t>
  </si>
  <si>
    <t>Flat FCV 44 200 1200</t>
  </si>
  <si>
    <t>3944200140</t>
  </si>
  <si>
    <t>Flat FCV 44 200 1400</t>
  </si>
  <si>
    <t>3944200160</t>
  </si>
  <si>
    <t>Flat FCV 44 200 1600</t>
  </si>
  <si>
    <t>3944200180</t>
  </si>
  <si>
    <t>Flat FCV 44 200 1800</t>
  </si>
  <si>
    <t>3944200200</t>
  </si>
  <si>
    <t>Flat FCV 44 200 2000</t>
  </si>
  <si>
    <t>3944200230</t>
  </si>
  <si>
    <t>Flat FCV 44 200 2300</t>
  </si>
  <si>
    <t>3944200260</t>
  </si>
  <si>
    <t>Flat FCV 44 200 2600</t>
  </si>
  <si>
    <t>3944200300</t>
  </si>
  <si>
    <t>Flat FCV 44 200 3000</t>
  </si>
  <si>
    <t>3411300040L</t>
  </si>
  <si>
    <t>Purmo CV 11 300   400 LEFT</t>
  </si>
  <si>
    <t>3411300050L</t>
  </si>
  <si>
    <t>Purmo CV 11 300   500 LEFT</t>
  </si>
  <si>
    <t>3411300060L</t>
  </si>
  <si>
    <t>Purmo CV 11 300   600 LEFT</t>
  </si>
  <si>
    <t>3411300070L</t>
  </si>
  <si>
    <t>Purmo CV 11 300   700 LEFT</t>
  </si>
  <si>
    <t>3411300080L</t>
  </si>
  <si>
    <t>Purmo CV 11 300   800 LEFT</t>
  </si>
  <si>
    <t>3411300090L</t>
  </si>
  <si>
    <t>Purmo CV 11 300   900 LEFT</t>
  </si>
  <si>
    <t>3411300100L</t>
  </si>
  <si>
    <t>Purmo CV 11 300 1000 LEFT</t>
  </si>
  <si>
    <t>3411300110L</t>
  </si>
  <si>
    <t>Purmo CV 11 300 1100 LEFT</t>
  </si>
  <si>
    <t>3411300120L</t>
  </si>
  <si>
    <t>Purmo CV 11 300 1200 LEFT</t>
  </si>
  <si>
    <t>3411300140L</t>
  </si>
  <si>
    <t>Purmo CV 11 300 1400 LEFT</t>
  </si>
  <si>
    <t>3411300160L</t>
  </si>
  <si>
    <t>Purmo CV 11 300 1600 LEFT</t>
  </si>
  <si>
    <t>3411300180L</t>
  </si>
  <si>
    <t>Purmo CV 11 300 1800 LEFT</t>
  </si>
  <si>
    <t>3411300200L</t>
  </si>
  <si>
    <t>Purmo CV 11 300 2000 LEFT</t>
  </si>
  <si>
    <t>3411300230L</t>
  </si>
  <si>
    <t>Purmo CV 11 300 2300 LEFT</t>
  </si>
  <si>
    <t>3411300260L</t>
  </si>
  <si>
    <t>Purmo CV 11 300 2600 LEFT</t>
  </si>
  <si>
    <t>3411300300L</t>
  </si>
  <si>
    <t>Purmo CV 11 300 3000 LEFT</t>
  </si>
  <si>
    <t>3411400040L</t>
  </si>
  <si>
    <t>Purmo CV 11 400   400 LEFT</t>
  </si>
  <si>
    <t>3411400050L</t>
  </si>
  <si>
    <t>Purmo CV 11 400   500 LEFT</t>
  </si>
  <si>
    <t>3411400060L</t>
  </si>
  <si>
    <t>Purmo CV 11 400   600 LEFT</t>
  </si>
  <si>
    <t>3411400070L</t>
  </si>
  <si>
    <t>Purmo CV 11 400   700 LEFT</t>
  </si>
  <si>
    <t>3411400080L</t>
  </si>
  <si>
    <t>Purmo CV 11 400   800 LEFT</t>
  </si>
  <si>
    <t>3411400090L</t>
  </si>
  <si>
    <t>Purmo CV 11 400   900 LEFT</t>
  </si>
  <si>
    <t>3411400100L</t>
  </si>
  <si>
    <t>Purmo CV 11 400 1000 LEFT</t>
  </si>
  <si>
    <t>3411400110L</t>
  </si>
  <si>
    <t>Purmo CV 11 400 1100 LEFT</t>
  </si>
  <si>
    <t>3411400120L</t>
  </si>
  <si>
    <t>Purmo CV 11 400 1200 LEFT</t>
  </si>
  <si>
    <t>3411400140L</t>
  </si>
  <si>
    <t>Purmo CV 11 400 1400 LEFT</t>
  </si>
  <si>
    <t>3411400160L</t>
  </si>
  <si>
    <t>Purmo CV 11 400 1600 LEFT</t>
  </si>
  <si>
    <t>3411400180L</t>
  </si>
  <si>
    <t>Purmo CV 11 400 1800 LEFT</t>
  </si>
  <si>
    <t>3411400200L</t>
  </si>
  <si>
    <t>Purmo CV 11 400 2000 LEFT</t>
  </si>
  <si>
    <t>3411400230L</t>
  </si>
  <si>
    <t>Purmo CV 11 400 2300 LEFT</t>
  </si>
  <si>
    <t>3411400260L</t>
  </si>
  <si>
    <t>Purmo CV 11 400 2600 LEFT</t>
  </si>
  <si>
    <t>3411400300L</t>
  </si>
  <si>
    <t>Purmo CV 11 400 3000 LEFT</t>
  </si>
  <si>
    <t>3411450040L</t>
  </si>
  <si>
    <t>Purmo CV 11 450   400 LEFT</t>
  </si>
  <si>
    <t>3411450050L</t>
  </si>
  <si>
    <t>Purmo CV 11 450   500 LEFT</t>
  </si>
  <si>
    <t>3411450060L</t>
  </si>
  <si>
    <t>Purmo CV 11 450   600 LEFT</t>
  </si>
  <si>
    <t>3411450070L</t>
  </si>
  <si>
    <t>Purmo CV 11 450   700 LEFT</t>
  </si>
  <si>
    <t>3411450080L</t>
  </si>
  <si>
    <t>Purmo CV 11 450   800 LEFT</t>
  </si>
  <si>
    <t>3411450090L</t>
  </si>
  <si>
    <t>Purmo CV 11 450   900 LEFT</t>
  </si>
  <si>
    <t>3411450100L</t>
  </si>
  <si>
    <t>Purmo CV 11 450 1000 LEFT</t>
  </si>
  <si>
    <t>3411450110L</t>
  </si>
  <si>
    <t>Purmo CV 11 450 1100 LEFT</t>
  </si>
  <si>
    <t>3411450120L</t>
  </si>
  <si>
    <t>Purmo CV 11 450 1200 LEFT</t>
  </si>
  <si>
    <t>3411450140L</t>
  </si>
  <si>
    <t>Purmo CV 11 450 1400 LEFT</t>
  </si>
  <si>
    <t>3411450160L</t>
  </si>
  <si>
    <t>Purmo CV 11 450 1600 LEFT</t>
  </si>
  <si>
    <t>3411450180L</t>
  </si>
  <si>
    <t>Purmo CV 11 450 1800 LEFT</t>
  </si>
  <si>
    <t>3411450200L</t>
  </si>
  <si>
    <t>Purmo CV 11 450 2000 LEFT</t>
  </si>
  <si>
    <t>3411450230L</t>
  </si>
  <si>
    <t>Purmo CV 11 450 2300 LEFT</t>
  </si>
  <si>
    <t>3411450260L</t>
  </si>
  <si>
    <t>Purmo CV 11 450 2600 LEFT</t>
  </si>
  <si>
    <t>3411450300L</t>
  </si>
  <si>
    <t>Purmo CV 11 450 3000 LEFT</t>
  </si>
  <si>
    <t>3411500040L</t>
  </si>
  <si>
    <t>Purmo CV 11 500   400 LEFT</t>
  </si>
  <si>
    <t>3411500050L</t>
  </si>
  <si>
    <t>Purmo CV 11 500   500 LEFT</t>
  </si>
  <si>
    <t>3411500060L</t>
  </si>
  <si>
    <t>Purmo CV 11 500   600 LEFT</t>
  </si>
  <si>
    <t>3411500070L</t>
  </si>
  <si>
    <t>Purmo CV 11 500   700 LEFT</t>
  </si>
  <si>
    <t>3411500080L</t>
  </si>
  <si>
    <t>Purmo CV 11 500   800 LEFT</t>
  </si>
  <si>
    <t>3411500090L</t>
  </si>
  <si>
    <t>Purmo CV 11 500   900 LEFT</t>
  </si>
  <si>
    <t>3411500100L</t>
  </si>
  <si>
    <t>Purmo CV 11 500 1000 LEFT</t>
  </si>
  <si>
    <t>3411500110L</t>
  </si>
  <si>
    <t>Purmo CV 11 500 1100 LEFT</t>
  </si>
  <si>
    <t>3411500120L</t>
  </si>
  <si>
    <t>Purmo CV 11 500 1200 LEFT</t>
  </si>
  <si>
    <t>3411500140L</t>
  </si>
  <si>
    <t>Purmo CV 11 500 1400 LEFT</t>
  </si>
  <si>
    <t>3411500160L</t>
  </si>
  <si>
    <t>Purmo CV 11 500 1600 LEFT</t>
  </si>
  <si>
    <t>3411500180L</t>
  </si>
  <si>
    <t>Purmo CV 11 500 1800 LEFT</t>
  </si>
  <si>
    <t>3411500200L</t>
  </si>
  <si>
    <t>Purmo CV 11 500 2000 LEFT</t>
  </si>
  <si>
    <t>3411500230L</t>
  </si>
  <si>
    <t>Purmo CV 11 500 2300 LEFT</t>
  </si>
  <si>
    <t>3411500260L</t>
  </si>
  <si>
    <t>Purmo CV 11 500 2600 LEFT</t>
  </si>
  <si>
    <t>3411500300L</t>
  </si>
  <si>
    <t>Purmo CV 11 500 3000 LEFT</t>
  </si>
  <si>
    <t>3411600040L</t>
  </si>
  <si>
    <t>Purmo CV 11 600   400 LEFT</t>
  </si>
  <si>
    <t>3411600050L</t>
  </si>
  <si>
    <t>Purmo CV 11 600   500 LEFT</t>
  </si>
  <si>
    <t>3411600060L</t>
  </si>
  <si>
    <t>Purmo CV 11 600   600 LEFT</t>
  </si>
  <si>
    <t>3411600070L</t>
  </si>
  <si>
    <t>Purmo CV 11 600   700 LEFT</t>
  </si>
  <si>
    <t>3411600080L</t>
  </si>
  <si>
    <t>Purmo CV 11 600   800 LEFT</t>
  </si>
  <si>
    <t>3411600090L</t>
  </si>
  <si>
    <t>Purmo CV 11 600   900 LEFT</t>
  </si>
  <si>
    <t>3411600100L</t>
  </si>
  <si>
    <t>Purmo CV 11 600 1000 LEFT</t>
  </si>
  <si>
    <t>3411600110L</t>
  </si>
  <si>
    <t>Purmo CV 11 600 1100 LEFT</t>
  </si>
  <si>
    <t>3411600120L</t>
  </si>
  <si>
    <t>Purmo CV 11 600 1200 LEFT</t>
  </si>
  <si>
    <t>3411600140L</t>
  </si>
  <si>
    <t>Purmo CV 11 600 1400 LEFT</t>
  </si>
  <si>
    <t>3411600160L</t>
  </si>
  <si>
    <t>Purmo CV 11 600 1600 LEFT</t>
  </si>
  <si>
    <t>3411600180L</t>
  </si>
  <si>
    <t>Purmo CV 11 600 1800 LEFT</t>
  </si>
  <si>
    <t>3411600200L</t>
  </si>
  <si>
    <t>Purmo CV 11 600 2000 LEFT</t>
  </si>
  <si>
    <t>3411600230L</t>
  </si>
  <si>
    <t>Purmo CV 11 600 2300 LEFT</t>
  </si>
  <si>
    <t>3411600260L</t>
  </si>
  <si>
    <t>Purmo CV 11 600 2600 LEFT</t>
  </si>
  <si>
    <t>3411600300L</t>
  </si>
  <si>
    <t>Purmo CV 11 600 3000 LEFT</t>
  </si>
  <si>
    <t>3411900040L</t>
  </si>
  <si>
    <t>Purmo CV 11 900   400 LEFT</t>
  </si>
  <si>
    <t>3411900050L</t>
  </si>
  <si>
    <t>Purmo CV 11 900   500 LEFT</t>
  </si>
  <si>
    <t>3411900060L</t>
  </si>
  <si>
    <t>Purmo CV 11 900   600 LEFT</t>
  </si>
  <si>
    <t>3411900070L</t>
  </si>
  <si>
    <t>Purmo CV 11 900   700 LEFT</t>
  </si>
  <si>
    <t>3411900080L</t>
  </si>
  <si>
    <t>Purmo CV 11 900   800 LEFT</t>
  </si>
  <si>
    <t>3411900090L</t>
  </si>
  <si>
    <t>Purmo CV 11 900   900 LEFT</t>
  </si>
  <si>
    <t>3411900100L</t>
  </si>
  <si>
    <t>Purmo CV 11 900 1000 LEFT</t>
  </si>
  <si>
    <t>3411900110L</t>
  </si>
  <si>
    <t>Purmo CV 11 900 1100 LEFT</t>
  </si>
  <si>
    <t>3411900120L</t>
  </si>
  <si>
    <t>Purmo CV 11 900 1200 LEFT</t>
  </si>
  <si>
    <t>3411900140L</t>
  </si>
  <si>
    <t>Purmo CV 11 900 1400 LEFT</t>
  </si>
  <si>
    <t>3411900160L</t>
  </si>
  <si>
    <t>Purmo CV 11 900 1600 LEFT</t>
  </si>
  <si>
    <t>3411900180L</t>
  </si>
  <si>
    <t>Purmo CV 11 900 1800 LEFT</t>
  </si>
  <si>
    <t>3411900200L</t>
  </si>
  <si>
    <t>Purmo CV 11 900 2000 LEFT</t>
  </si>
  <si>
    <t>3411900230L</t>
  </si>
  <si>
    <t>Purmo CV 11 900 2300 LEFT</t>
  </si>
  <si>
    <t>3411900260L</t>
  </si>
  <si>
    <t>Purmo CV 11 900 2600 LEFT</t>
  </si>
  <si>
    <t>3411900300L</t>
  </si>
  <si>
    <t>Purmo CV 11 900 3000 LEFT</t>
  </si>
  <si>
    <t>3433200060L</t>
  </si>
  <si>
    <t>Purmo CV 33 200   600 LEFT</t>
  </si>
  <si>
    <t>3433200070L</t>
  </si>
  <si>
    <t>Purmo CV 33 200   700 LEFT</t>
  </si>
  <si>
    <t>3433200080L</t>
  </si>
  <si>
    <t>Purmo CV 33 200   800 LEFT</t>
  </si>
  <si>
    <t>3433200090L</t>
  </si>
  <si>
    <t>Purmo CV 33 200   900 LEFT</t>
  </si>
  <si>
    <t>3433200100L</t>
  </si>
  <si>
    <t>Purmo CV 33 200 1000 LEFT</t>
  </si>
  <si>
    <t>3433200110L</t>
  </si>
  <si>
    <t>Purmo CV 33 200 1100 LEFT</t>
  </si>
  <si>
    <t>3433200120L</t>
  </si>
  <si>
    <t>Purmo CV 33 200 1200 LEFT</t>
  </si>
  <si>
    <t>3433200140L</t>
  </si>
  <si>
    <t>Purmo CV 33 200 1400 LEFT</t>
  </si>
  <si>
    <t>3433200160L</t>
  </si>
  <si>
    <t>Purmo CV 33 200 1600 LEFT</t>
  </si>
  <si>
    <t>3433200180L</t>
  </si>
  <si>
    <t>Purmo CV 33 200 1800 LEFT</t>
  </si>
  <si>
    <t>3433200200L</t>
  </si>
  <si>
    <t>Purmo CV 33 200 2000 LEFT</t>
  </si>
  <si>
    <t>3433200230L</t>
  </si>
  <si>
    <t>Purmo CV 33 200 2300 LEFT</t>
  </si>
  <si>
    <t>3433200260L</t>
  </si>
  <si>
    <t>Purmo CV 33 200 2600 LEFT</t>
  </si>
  <si>
    <t>3433200300L</t>
  </si>
  <si>
    <t>Purmo CV 33 200 3000 LEFT</t>
  </si>
  <si>
    <t>3433300040L</t>
  </si>
  <si>
    <t>Purmo CV 33 300   400 LEFT</t>
  </si>
  <si>
    <t>3433300050L</t>
  </si>
  <si>
    <t>Purmo CV 33 300   500 LEFT</t>
  </si>
  <si>
    <t>3433300060L</t>
  </si>
  <si>
    <t>Purmo CV 33 300   600 LEFT</t>
  </si>
  <si>
    <t>3433300070L</t>
  </si>
  <si>
    <t>Purmo CV 33 300   700 LEFT</t>
  </si>
  <si>
    <t>3433300080L</t>
  </si>
  <si>
    <t>Purmo CV 33 300   800 LEFT</t>
  </si>
  <si>
    <t>3433300090L</t>
  </si>
  <si>
    <t>Purmo CV 33 300   900 LEFT</t>
  </si>
  <si>
    <t>3433300100L</t>
  </si>
  <si>
    <t>Purmo CV 33 300 1000 LEFT</t>
  </si>
  <si>
    <t>3433300110L</t>
  </si>
  <si>
    <t>Purmo CV 33 300 1100 LEFT</t>
  </si>
  <si>
    <t>3433300120L</t>
  </si>
  <si>
    <t>Purmo CV 33 300 1200 LEFT</t>
  </si>
  <si>
    <t>3433300140L</t>
  </si>
  <si>
    <t>Purmo CV 33 300 1400 LEFT</t>
  </si>
  <si>
    <t>3433300160L</t>
  </si>
  <si>
    <t>Purmo CV 33 300 1600 LEFT</t>
  </si>
  <si>
    <t>3433300180L</t>
  </si>
  <si>
    <t>Purmo CV 33 300 1800 LEFT</t>
  </si>
  <si>
    <t>3433300200L</t>
  </si>
  <si>
    <t>Purmo CV 33 300 2000 LEFT</t>
  </si>
  <si>
    <t>3433300230L</t>
  </si>
  <si>
    <t>Purmo CV 33 300 2300 LEFT</t>
  </si>
  <si>
    <t>3433300260L</t>
  </si>
  <si>
    <t>Purmo CV 33 300 2600 LEFT</t>
  </si>
  <si>
    <t>3433300300L</t>
  </si>
  <si>
    <t>Purmo CV 33 300 3000 LEFT</t>
  </si>
  <si>
    <t>3433400040L</t>
  </si>
  <si>
    <t>Purmo CV 33 400   400 LEFT</t>
  </si>
  <si>
    <t>3433400050L</t>
  </si>
  <si>
    <t>Purmo CV 33 400   500 LEFT</t>
  </si>
  <si>
    <t>3433400060L</t>
  </si>
  <si>
    <t>Purmo CV 33 400   600 LEFT</t>
  </si>
  <si>
    <t>3433400070L</t>
  </si>
  <si>
    <t>Purmo CV 33 400   700 LEFT</t>
  </si>
  <si>
    <t>3433400080L</t>
  </si>
  <si>
    <t>Purmo CV 33 400   800 LEFT</t>
  </si>
  <si>
    <t>3433400090L</t>
  </si>
  <si>
    <t>Purmo CV 33 400   900 LEFT</t>
  </si>
  <si>
    <t>3433400100L</t>
  </si>
  <si>
    <t>Purmo CV 33 400 1000 LEFT</t>
  </si>
  <si>
    <t>3433400110L</t>
  </si>
  <si>
    <t>Purmo CV 33 400 1100 LEFT</t>
  </si>
  <si>
    <t>3433400120L</t>
  </si>
  <si>
    <t>Purmo CV 33 400 1200 LEFT</t>
  </si>
  <si>
    <t>3433400140L</t>
  </si>
  <si>
    <t>Purmo CV 33 400 1400 LEFT</t>
  </si>
  <si>
    <t>3433400160L</t>
  </si>
  <si>
    <t>Purmo CV 33 400 1600 LEFT</t>
  </si>
  <si>
    <t>3433400180L</t>
  </si>
  <si>
    <t>Purmo CV 33 400 1800 LEFT</t>
  </si>
  <si>
    <t>3433400200L</t>
  </si>
  <si>
    <t>Purmo CV 33 400 2000 LEFT</t>
  </si>
  <si>
    <t>3433400230L</t>
  </si>
  <si>
    <t>Purmo CV 33 400 2300 LEFT</t>
  </si>
  <si>
    <t>3433400260L</t>
  </si>
  <si>
    <t>Purmo CV 33 400 2600 LEFT</t>
  </si>
  <si>
    <t>3433400300L</t>
  </si>
  <si>
    <t>Purmo CV 33 400 3000 LEFT</t>
  </si>
  <si>
    <t>3433450040L</t>
  </si>
  <si>
    <t>Purmo CV 33 450   400 LEFT</t>
  </si>
  <si>
    <t>3433450050L</t>
  </si>
  <si>
    <t>Purmo CV 33 450   500 LEFT</t>
  </si>
  <si>
    <t>3433450060L</t>
  </si>
  <si>
    <t>Purmo CV 33 450   600 LEFT</t>
  </si>
  <si>
    <t>3433450070L</t>
  </si>
  <si>
    <t>Purmo CV 33 450   700 LEFT</t>
  </si>
  <si>
    <t>3433450080L</t>
  </si>
  <si>
    <t>Purmo CV 33 450   800 LEFT</t>
  </si>
  <si>
    <t>3433450090L</t>
  </si>
  <si>
    <t>Purmo CV 33 450   900 LEFT</t>
  </si>
  <si>
    <t>3433450100L</t>
  </si>
  <si>
    <t>Purmo CV 33 450 1000 LEFT</t>
  </si>
  <si>
    <t>3433450110L</t>
  </si>
  <si>
    <t>Purmo CV 33 450 1100 LEFT</t>
  </si>
  <si>
    <t>3433450120L</t>
  </si>
  <si>
    <t>Purmo CV 33 450 1200 LEFT</t>
  </si>
  <si>
    <t>3433450140L</t>
  </si>
  <si>
    <t>Purmo CV 33 450 1400 LEFT</t>
  </si>
  <si>
    <t>3433450160L</t>
  </si>
  <si>
    <t>Purmo CV 33 450 1600 LEFT</t>
  </si>
  <si>
    <t>3433450180L</t>
  </si>
  <si>
    <t>Purmo CV 33 450 1800 LEFT</t>
  </si>
  <si>
    <t>3433450200L</t>
  </si>
  <si>
    <t>Purmo CV 33 450 2000 LEFT</t>
  </si>
  <si>
    <t>3433450230L</t>
  </si>
  <si>
    <t>Purmo CV 33 450 2300 LEFT</t>
  </si>
  <si>
    <t>3433450260L</t>
  </si>
  <si>
    <t>Purmo CV 33 450 2600 LEFT</t>
  </si>
  <si>
    <t>3433450300L</t>
  </si>
  <si>
    <t>Purmo CV 33 450 3000 LEFT</t>
  </si>
  <si>
    <t>3433500040L</t>
  </si>
  <si>
    <t>Purmo CV 33 500   400 LEFT</t>
  </si>
  <si>
    <t>3433500050L</t>
  </si>
  <si>
    <t>Purmo CV 33 500   500 LEFT</t>
  </si>
  <si>
    <t>3433500060L</t>
  </si>
  <si>
    <t>Purmo CV 33 500   600 LEFT</t>
  </si>
  <si>
    <t>3433500070L</t>
  </si>
  <si>
    <t>Purmo CV 33 500   700 LEFT</t>
  </si>
  <si>
    <t>3433500080L</t>
  </si>
  <si>
    <t>Purmo CV 33 500   800 LEFT</t>
  </si>
  <si>
    <t>3433500090L</t>
  </si>
  <si>
    <t>Purmo CV 33 500   900 LEFT</t>
  </si>
  <si>
    <t>3433500100L</t>
  </si>
  <si>
    <t>Purmo CV 33 500 1000 LEFT</t>
  </si>
  <si>
    <t>3433500110L</t>
  </si>
  <si>
    <t>Purmo CV 33 500 1100 LEFT</t>
  </si>
  <si>
    <t>3433500120L</t>
  </si>
  <si>
    <t>Purmo CV 33 500 1200 LEFT</t>
  </si>
  <si>
    <t>3433500140L</t>
  </si>
  <si>
    <t>Purmo CV 33 500 1400 LEFT</t>
  </si>
  <si>
    <t>3433500160L</t>
  </si>
  <si>
    <t>Purmo CV 33 500 1600 LEFT</t>
  </si>
  <si>
    <t>3433500180L</t>
  </si>
  <si>
    <t>Purmo CV 33 500 1800 LEFT</t>
  </si>
  <si>
    <t>3433500200L</t>
  </si>
  <si>
    <t>Purmo CV 33 500 2000 LEFT</t>
  </si>
  <si>
    <t>3433500230L</t>
  </si>
  <si>
    <t>Purmo CV 33 500 2300 LEFT</t>
  </si>
  <si>
    <t>3433500260L</t>
  </si>
  <si>
    <t>Purmo CV 33 500 2600 LEFT</t>
  </si>
  <si>
    <t>3433500300L</t>
  </si>
  <si>
    <t>Purmo CV 33 500 3000 LEFT</t>
  </si>
  <si>
    <t>3433600040L</t>
  </si>
  <si>
    <t>Purmo CV 33 600   400 LEFT</t>
  </si>
  <si>
    <t>3433600050L</t>
  </si>
  <si>
    <t>Purmo CV 33 600   500 LEFT</t>
  </si>
  <si>
    <t>3433600060L</t>
  </si>
  <si>
    <t>Purmo CV 33 600   600 LEFT</t>
  </si>
  <si>
    <t>3433600070L</t>
  </si>
  <si>
    <t>Purmo CV 33 600   700 LEFT</t>
  </si>
  <si>
    <t>3433600080L</t>
  </si>
  <si>
    <t>Purmo CV 33 600   800 LEFT</t>
  </si>
  <si>
    <t>3433600090L</t>
  </si>
  <si>
    <t>Purmo CV 33 600   900 LEFT</t>
  </si>
  <si>
    <t>3433600100L</t>
  </si>
  <si>
    <t>Purmo CV 33 600 1000 LEFT</t>
  </si>
  <si>
    <t>3433600110L</t>
  </si>
  <si>
    <t>Purmo CV 33 600 1100 LEFT</t>
  </si>
  <si>
    <t>3433600120L</t>
  </si>
  <si>
    <t>Purmo CV 33 600 1200 LEFT</t>
  </si>
  <si>
    <t>3433600140L</t>
  </si>
  <si>
    <t>Purmo CV 33 600 1400 LEFT</t>
  </si>
  <si>
    <t>3433600160L</t>
  </si>
  <si>
    <t>Purmo CV 33 600 1600 LEFT</t>
  </si>
  <si>
    <t>3433600180L</t>
  </si>
  <si>
    <t>Purmo CV 33 600 1800 LEFT</t>
  </si>
  <si>
    <t>3433600200L</t>
  </si>
  <si>
    <t>Purmo CV 33 600 2000 LEFT</t>
  </si>
  <si>
    <t>3433600230L</t>
  </si>
  <si>
    <t>Purmo CV 33 600 2300 LEFT</t>
  </si>
  <si>
    <t>3433600260L</t>
  </si>
  <si>
    <t>Purmo CV 33 600 2600 LEFT</t>
  </si>
  <si>
    <t>3433600300L</t>
  </si>
  <si>
    <t>Purmo CV 33 600 3000 LEFT</t>
  </si>
  <si>
    <t>3433900040L</t>
  </si>
  <si>
    <t>Purmo CV 33 900   400 LEFT</t>
  </si>
  <si>
    <t>3433900050L</t>
  </si>
  <si>
    <t>Purmo CV 33 900   500 LEFT</t>
  </si>
  <si>
    <t>3433900060L</t>
  </si>
  <si>
    <t>Purmo CV 33 900   600 LEFT</t>
  </si>
  <si>
    <t>3433900070L</t>
  </si>
  <si>
    <t>Purmo CV 33 900   700 LEFT</t>
  </si>
  <si>
    <t>3433900080L</t>
  </si>
  <si>
    <t>Purmo CV 33 900   800 LEFT</t>
  </si>
  <si>
    <t>3433900090L</t>
  </si>
  <si>
    <t>Purmo CV 33 900   900 LEFT</t>
  </si>
  <si>
    <t>3433900100L</t>
  </si>
  <si>
    <t>Purmo CV 33 900 1000 LEFT</t>
  </si>
  <si>
    <t>3433900110L</t>
  </si>
  <si>
    <t>Purmo CV 33 900 1100 LEFT</t>
  </si>
  <si>
    <t>3433900120L</t>
  </si>
  <si>
    <t>Purmo CV 33 900 1200 LEFT</t>
  </si>
  <si>
    <t>3433900140L</t>
  </si>
  <si>
    <t>Purmo CV 33 900 1400 LEFT</t>
  </si>
  <si>
    <t>3433900160L</t>
  </si>
  <si>
    <t>Purmo CV 33 900 1600 LEFT</t>
  </si>
  <si>
    <t>3433900180L</t>
  </si>
  <si>
    <t>Purmo CV 33 900 1800 LEFT</t>
  </si>
  <si>
    <t>3433900200L</t>
  </si>
  <si>
    <t>Purmo CV 33 900 2000 LEFT</t>
  </si>
  <si>
    <t>3433900230L</t>
  </si>
  <si>
    <t>Purmo CV 33 900 2300 LEFT</t>
  </si>
  <si>
    <t>3433900260L</t>
  </si>
  <si>
    <t>Purmo CV 33 900 2600 LEFT</t>
  </si>
  <si>
    <t>3433900300L</t>
  </si>
  <si>
    <t>Purmo CV 33 900 3000 LEFT</t>
  </si>
  <si>
    <t>3811300040L</t>
  </si>
  <si>
    <t>Flat CV 11 300   400 LEFT</t>
  </si>
  <si>
    <t>3811300050L</t>
  </si>
  <si>
    <t>Flat CV 11 300   500 LEFT</t>
  </si>
  <si>
    <t>3811300060L</t>
  </si>
  <si>
    <t>Flat CV 11 300   600 LEFT</t>
  </si>
  <si>
    <t>3811300070L</t>
  </si>
  <si>
    <t>Flat CV 11 300   700 LEFT</t>
  </si>
  <si>
    <t>3811300080L</t>
  </si>
  <si>
    <t>Flat CV 11 300   800 LEFT</t>
  </si>
  <si>
    <t>3811300090L</t>
  </si>
  <si>
    <t>Flat CV 11 300   900 LEFT</t>
  </si>
  <si>
    <t>3811300100L</t>
  </si>
  <si>
    <t>Flat CV 11 300 1000 LEFT</t>
  </si>
  <si>
    <t>3811300110L</t>
  </si>
  <si>
    <t>Flat CV 11 300 1100 LEFT</t>
  </si>
  <si>
    <t>3811300120L</t>
  </si>
  <si>
    <t>Flat CV 11 300 1200 LEFT</t>
  </si>
  <si>
    <t>3811300140L</t>
  </si>
  <si>
    <t>Flat CV 11 300 1400 LEFT</t>
  </si>
  <si>
    <t>3811300160L</t>
  </si>
  <si>
    <t>Flat CV 11 300 1600 LEFT</t>
  </si>
  <si>
    <t>3811300180L</t>
  </si>
  <si>
    <t>Flat CV 11 300 1800 LEFT</t>
  </si>
  <si>
    <t>3811300200L</t>
  </si>
  <si>
    <t>Flat CV 11 300 2000 LEFT</t>
  </si>
  <si>
    <t>3811300230L</t>
  </si>
  <si>
    <t>Flat CV 11 300 2300 LEFT</t>
  </si>
  <si>
    <t>3811300260L</t>
  </si>
  <si>
    <t>Flat CV 11 300 2600 LEFT</t>
  </si>
  <si>
    <t>3811300300L</t>
  </si>
  <si>
    <t>Flat CV 11 300 3000 LEFT</t>
  </si>
  <si>
    <t>3811400040L</t>
  </si>
  <si>
    <t>Flat CV 11 400   400 LEFT</t>
  </si>
  <si>
    <t>3811400050L</t>
  </si>
  <si>
    <t>Flat CV 11 400   500 LEFT</t>
  </si>
  <si>
    <t>3811400060L</t>
  </si>
  <si>
    <t>Flat CV 11 400   600 LEFT</t>
  </si>
  <si>
    <t>3811400070L</t>
  </si>
  <si>
    <t>Flat CV 11 400   700 LEFT</t>
  </si>
  <si>
    <t>3811400080L</t>
  </si>
  <si>
    <t>Flat CV 11 400   800 LEFT</t>
  </si>
  <si>
    <t>3811400090L</t>
  </si>
  <si>
    <t>Flat CV 11 400   900 LEFT</t>
  </si>
  <si>
    <t>3811400100L</t>
  </si>
  <si>
    <t>Flat CV 11 400 1000 LEFT</t>
  </si>
  <si>
    <t>3811400110L</t>
  </si>
  <si>
    <t>Flat CV 11 400 1100 LEFT</t>
  </si>
  <si>
    <t>3811400120L</t>
  </si>
  <si>
    <t>Flat CV 11 400 1200 LEFT</t>
  </si>
  <si>
    <t>3811400140L</t>
  </si>
  <si>
    <t>Flat CV 11 400 1400 LEFT</t>
  </si>
  <si>
    <t>3811400160L</t>
  </si>
  <si>
    <t>Flat CV 11 400 1600 LEFT</t>
  </si>
  <si>
    <t>3811400180L</t>
  </si>
  <si>
    <t>Flat CV 11 400 1800 LEFT</t>
  </si>
  <si>
    <t>3811400200L</t>
  </si>
  <si>
    <t>Flat CV 11 400 2000 LEFT</t>
  </si>
  <si>
    <t>3811400230L</t>
  </si>
  <si>
    <t>Flat CV 11 400 2300 LEFT</t>
  </si>
  <si>
    <t>3811400260L</t>
  </si>
  <si>
    <t>Flat CV 11 400 2600 LEFT</t>
  </si>
  <si>
    <t>3811400300L</t>
  </si>
  <si>
    <t>Flat CV 11 400 3000 LEFT</t>
  </si>
  <si>
    <t>3811500040L</t>
  </si>
  <si>
    <t>Flat CV 11 500   400 LEFT</t>
  </si>
  <si>
    <t>3811500050L</t>
  </si>
  <si>
    <t>Flat CV 11 500   500 LEFT</t>
  </si>
  <si>
    <t>3811500060L</t>
  </si>
  <si>
    <t>Flat CV 11 500   600 LEFT</t>
  </si>
  <si>
    <t>3811500070L</t>
  </si>
  <si>
    <t>Flat CV 11 500   700 LEFT</t>
  </si>
  <si>
    <t>3811500080L</t>
  </si>
  <si>
    <t>Flat CV 11 500   800 LEFT</t>
  </si>
  <si>
    <t>3811500090L</t>
  </si>
  <si>
    <t>Flat CV 11 500   900 LEFT</t>
  </si>
  <si>
    <t>3811500100L</t>
  </si>
  <si>
    <t>Flat CV 11 500 1000 LEFT</t>
  </si>
  <si>
    <t>3811500110L</t>
  </si>
  <si>
    <t>Flat CV 11 500 1100 LEFT</t>
  </si>
  <si>
    <t>3811500120L</t>
  </si>
  <si>
    <t>Flat CV 11 500 1200 LEFT</t>
  </si>
  <si>
    <t>3811500140L</t>
  </si>
  <si>
    <t>Flat CV 11 500 1400 LEFT</t>
  </si>
  <si>
    <t>3811500160L</t>
  </si>
  <si>
    <t>Flat CV 11 500 1600 LEFT</t>
  </si>
  <si>
    <t>3811500180L</t>
  </si>
  <si>
    <t>Flat CV 11 500 1800 LEFT</t>
  </si>
  <si>
    <t>3811500200L</t>
  </si>
  <si>
    <t>Flat CV 11 500 2000 LEFT</t>
  </si>
  <si>
    <t>3811500230L</t>
  </si>
  <si>
    <t>Flat CV 11 500 2300 LEFT</t>
  </si>
  <si>
    <t>3811500260L</t>
  </si>
  <si>
    <t>Flat CV 11 500 2600 LEFT</t>
  </si>
  <si>
    <t>3811500300L</t>
  </si>
  <si>
    <t>Flat CV 11 500 3000 LEFT</t>
  </si>
  <si>
    <t>3811600040L</t>
  </si>
  <si>
    <t>Flat CV 11 600   400 LEFT</t>
  </si>
  <si>
    <t>3811600050L</t>
  </si>
  <si>
    <t>Flat CV 11 600   500 LEFT</t>
  </si>
  <si>
    <t>3811600060L</t>
  </si>
  <si>
    <t>Flat CV 11 600   600 LEFT</t>
  </si>
  <si>
    <t>3811600070L</t>
  </si>
  <si>
    <t>Flat CV 11 600   700 LEFT</t>
  </si>
  <si>
    <t>3811600080L</t>
  </si>
  <si>
    <t>Flat CV 11 600   800 LEFT</t>
  </si>
  <si>
    <t>3811600090L</t>
  </si>
  <si>
    <t>Flat CV 11 600   900 LEFT</t>
  </si>
  <si>
    <t>3811600100L</t>
  </si>
  <si>
    <t>Flat CV 11 600 1000 LEFT</t>
  </si>
  <si>
    <t>3811600110L</t>
  </si>
  <si>
    <t>Flat CV 11 600 1100 LEFT</t>
  </si>
  <si>
    <t>3811600120L</t>
  </si>
  <si>
    <t>Flat CV 11 600 1200 LEFT</t>
  </si>
  <si>
    <t>3811600140L</t>
  </si>
  <si>
    <t>Flat CV 11 600 1400 LEFT</t>
  </si>
  <si>
    <t>3811600160L</t>
  </si>
  <si>
    <t>Flat CV 11 600 1600 LEFT</t>
  </si>
  <si>
    <t>3811600180L</t>
  </si>
  <si>
    <t>Flat CV 11 600 1800 LEFT</t>
  </si>
  <si>
    <t>3811600200L</t>
  </si>
  <si>
    <t>Flat CV 11 600 2000 LEFT</t>
  </si>
  <si>
    <t>3811600230L</t>
  </si>
  <si>
    <t>Flat CV 11 600 2300 LEFT</t>
  </si>
  <si>
    <t>3811600260L</t>
  </si>
  <si>
    <t>Flat CV 11 600 2600 LEFT</t>
  </si>
  <si>
    <t>3811600300L</t>
  </si>
  <si>
    <t>Flat CV 11 600 3000 LEFT</t>
  </si>
  <si>
    <t>3811900040L</t>
  </si>
  <si>
    <t>Flat CV 11 900   400 LEFT</t>
  </si>
  <si>
    <t>3811900050L</t>
  </si>
  <si>
    <t>Flat CV 11 900   500 LEFT</t>
  </si>
  <si>
    <t>3811900060L</t>
  </si>
  <si>
    <t>Flat CV 11 900   600 LEFT</t>
  </si>
  <si>
    <t>3811900070L</t>
  </si>
  <si>
    <t>Flat CV 11 900   700 LEFT</t>
  </si>
  <si>
    <t>3811900080L</t>
  </si>
  <si>
    <t>Flat CV 11 900   800 LEFT</t>
  </si>
  <si>
    <t>3811900090L</t>
  </si>
  <si>
    <t>Flat CV 11 900   900 LEFT</t>
  </si>
  <si>
    <t>3811900100L</t>
  </si>
  <si>
    <t>Flat CV 11 900 1000 LEFT</t>
  </si>
  <si>
    <t>3811900110L</t>
  </si>
  <si>
    <t>Flat CV 11 900 1100 LEFT</t>
  </si>
  <si>
    <t>3811900120L</t>
  </si>
  <si>
    <t>Flat CV 11 900 1200 LEFT</t>
  </si>
  <si>
    <t>3811900140L</t>
  </si>
  <si>
    <t>Flat CV 11 900 1400 LEFT</t>
  </si>
  <si>
    <t>3811900160L</t>
  </si>
  <si>
    <t>Flat CV 11 900 1600 LEFT</t>
  </si>
  <si>
    <t>3811900180L</t>
  </si>
  <si>
    <t>Flat CV 11 900 1800 LEFT</t>
  </si>
  <si>
    <t>3811900200L</t>
  </si>
  <si>
    <t>Flat CV 11 900 2000 LEFT</t>
  </si>
  <si>
    <t>3821200060L</t>
  </si>
  <si>
    <t>Flat CV 21 200   600 LEFT</t>
  </si>
  <si>
    <t>3821200070L</t>
  </si>
  <si>
    <t>Flat CV 21 200   700 LEFT</t>
  </si>
  <si>
    <t>3821200080L</t>
  </si>
  <si>
    <t>Flat CV 21 200   800 LEFT</t>
  </si>
  <si>
    <t>3821200090L</t>
  </si>
  <si>
    <t>Flat CV 21 200   900 LEFT</t>
  </si>
  <si>
    <t>3821200100L</t>
  </si>
  <si>
    <t>Flat CV 21 200 1000 LEFT</t>
  </si>
  <si>
    <t>3821200110L</t>
  </si>
  <si>
    <t>Flat CV 21 200 1100 LEFT</t>
  </si>
  <si>
    <t>3821200120L</t>
  </si>
  <si>
    <t>Flat CV 21 200 1200 LEFT</t>
  </si>
  <si>
    <t>3821200140L</t>
  </si>
  <si>
    <t>Flat CV 21 200 1400 LEFT</t>
  </si>
  <si>
    <t>3821200160L</t>
  </si>
  <si>
    <t>Flat CV 21 200 1600 LEFT</t>
  </si>
  <si>
    <t>3821200180L</t>
  </si>
  <si>
    <t>Flat CV 21 200 1800 LEFT</t>
  </si>
  <si>
    <t>3821200200L</t>
  </si>
  <si>
    <t>Flat CV 21 200 2000 LEFT</t>
  </si>
  <si>
    <t>3821200230L</t>
  </si>
  <si>
    <t>Flat CV 21 200 2300 LEFT</t>
  </si>
  <si>
    <t>3821200260L</t>
  </si>
  <si>
    <t>Flat CV 21 200 2600 LEFT</t>
  </si>
  <si>
    <t>3821200300L</t>
  </si>
  <si>
    <t>Flat CV 21 200 3000 LEFT</t>
  </si>
  <si>
    <t>3821300040L</t>
  </si>
  <si>
    <t>Flat CV 21 300   400 LEFT</t>
  </si>
  <si>
    <t>3821300050L</t>
  </si>
  <si>
    <t>Flat CV 21 300   500 LEFT</t>
  </si>
  <si>
    <t>3821300060L</t>
  </si>
  <si>
    <t>Flat CV 21 300   600 LEFT</t>
  </si>
  <si>
    <t>3821300070L</t>
  </si>
  <si>
    <t>Flat CV 21 300   700 LEFT</t>
  </si>
  <si>
    <t>3821300080L</t>
  </si>
  <si>
    <t>Flat CV 21 300   800 LEFT</t>
  </si>
  <si>
    <t>3821300090L</t>
  </si>
  <si>
    <t>Flat CV 21 300   900 LEFT</t>
  </si>
  <si>
    <t>3821300100L</t>
  </si>
  <si>
    <t>Flat CV 21 300 1000 LEFT</t>
  </si>
  <si>
    <t>3821300110L</t>
  </si>
  <si>
    <t>Flat CV 21 300 1100 LEFT</t>
  </si>
  <si>
    <t>3821300120L</t>
  </si>
  <si>
    <t>Flat CV 21 300 1200 LEFT</t>
  </si>
  <si>
    <t>3821300140L</t>
  </si>
  <si>
    <t>Flat CV 21 300 1400 LEFT</t>
  </si>
  <si>
    <t>3821300160L</t>
  </si>
  <si>
    <t>Flat CV 21 300 1600 LEFT</t>
  </si>
  <si>
    <t>3821300180L</t>
  </si>
  <si>
    <t>Flat CV 21 300 1800 LEFT</t>
  </si>
  <si>
    <t>3821300200L</t>
  </si>
  <si>
    <t>Flat CV 21 300 2000 LEFT</t>
  </si>
  <si>
    <t>3821300230L</t>
  </si>
  <si>
    <t>Flat CV 21 300 2300 LEFT</t>
  </si>
  <si>
    <t>3821300260L</t>
  </si>
  <si>
    <t>Flat CV 21 300 2600 LEFT</t>
  </si>
  <si>
    <t>3821300300L</t>
  </si>
  <si>
    <t>Flat CV 21 300 3000 LEFT</t>
  </si>
  <si>
    <t>3821400040L</t>
  </si>
  <si>
    <t>Flat CV 21 400   400 LEFT</t>
  </si>
  <si>
    <t>3821400050L</t>
  </si>
  <si>
    <t>Flat CV 21 400   500 LEFT</t>
  </si>
  <si>
    <t>3821400060L</t>
  </si>
  <si>
    <t>Flat CV 21 400   600 LEFT</t>
  </si>
  <si>
    <t>3821400070L</t>
  </si>
  <si>
    <t>Flat CV 21 400   700 LEFT</t>
  </si>
  <si>
    <t>3821400080L</t>
  </si>
  <si>
    <t>Flat CV 21 400   800 LEFT</t>
  </si>
  <si>
    <t>3821400090L</t>
  </si>
  <si>
    <t>Flat CV 21 400   900 LEFT</t>
  </si>
  <si>
    <t>3821400100L</t>
  </si>
  <si>
    <t>Flat CV 21 400 1000 LEFT</t>
  </si>
  <si>
    <t>3821400110L</t>
  </si>
  <si>
    <t>Flat CV 21 400 1100 LEFT</t>
  </si>
  <si>
    <t>3821400120L</t>
  </si>
  <si>
    <t>Flat CV 21 400 1200 LEFT</t>
  </si>
  <si>
    <t>3821400140L</t>
  </si>
  <si>
    <t>Flat CV 21 400 1400 LEFT</t>
  </si>
  <si>
    <t>3821400160L</t>
  </si>
  <si>
    <t>Flat CV 21 400 1600 LEFT</t>
  </si>
  <si>
    <t>3821400180L</t>
  </si>
  <si>
    <t>Flat CV 21 400 1800 LEFT</t>
  </si>
  <si>
    <t>3821400200L</t>
  </si>
  <si>
    <t>Flat CV 21 400 2000 LEFT</t>
  </si>
  <si>
    <t>3821400230L</t>
  </si>
  <si>
    <t>Flat CV 21 400 2300 LEFT</t>
  </si>
  <si>
    <t>3821400260L</t>
  </si>
  <si>
    <t>Flat CV 21 400 2600 LEFT</t>
  </si>
  <si>
    <t>3821400300L</t>
  </si>
  <si>
    <t>Flat CV 21 400 3000 LEFT</t>
  </si>
  <si>
    <t>3821500040L</t>
  </si>
  <si>
    <t>Flat CV 21 500   400 LEFT</t>
  </si>
  <si>
    <t>3821500050L</t>
  </si>
  <si>
    <t>Flat CV 21 500   500 LEFT</t>
  </si>
  <si>
    <t>3821500060L</t>
  </si>
  <si>
    <t>Flat CV 21 500   600 LEFT</t>
  </si>
  <si>
    <t>3821500070L</t>
  </si>
  <si>
    <t>Flat CV 21 500   700 LEFT</t>
  </si>
  <si>
    <t>3821500080L</t>
  </si>
  <si>
    <t>Flat CV 21 500   800 LEFT</t>
  </si>
  <si>
    <t>3821500090L</t>
  </si>
  <si>
    <t>Flat CV 21 500   900 LEFT</t>
  </si>
  <si>
    <t>3821500100L</t>
  </si>
  <si>
    <t>Flat CV 21 500 1000 LEFT</t>
  </si>
  <si>
    <t>3821500110L</t>
  </si>
  <si>
    <t>Flat CV 21 500 1100 LEFT</t>
  </si>
  <si>
    <t>3821500120L</t>
  </si>
  <si>
    <t>Flat CV 21 500 1200 LEFT</t>
  </si>
  <si>
    <t>3821500140L</t>
  </si>
  <si>
    <t>Flat CV 21 500 1400 LEFT</t>
  </si>
  <si>
    <t>3821500160L</t>
  </si>
  <si>
    <t>Flat CV 21 500 1600 LEFT</t>
  </si>
  <si>
    <t>3821500180L</t>
  </si>
  <si>
    <t>Flat CV 21 500 1800 LEFT</t>
  </si>
  <si>
    <t>3821500200L</t>
  </si>
  <si>
    <t>Flat CV 21 500 2000 LEFT</t>
  </si>
  <si>
    <t>3821500230L</t>
  </si>
  <si>
    <t>Flat CV 21 500 2300 LEFT</t>
  </si>
  <si>
    <t>3821500260L</t>
  </si>
  <si>
    <t>Flat CV 21 500 2600 LEFT</t>
  </si>
  <si>
    <t>3821500300L</t>
  </si>
  <si>
    <t>Flat CV 21 500 3000 LEFT</t>
  </si>
  <si>
    <t>3821600040L</t>
  </si>
  <si>
    <t>Flat CV 21 600   400 LEFT</t>
  </si>
  <si>
    <t>3821600050L</t>
  </si>
  <si>
    <t>Flat CV 21 600   500 LEFT</t>
  </si>
  <si>
    <t>3821600060L</t>
  </si>
  <si>
    <t>Flat CV 21 600   600 LEFT</t>
  </si>
  <si>
    <t>3821600070L</t>
  </si>
  <si>
    <t>Flat CV 21 600   700 LEFT</t>
  </si>
  <si>
    <t>3821600080L</t>
  </si>
  <si>
    <t>Flat CV 21 600   800 LEFT</t>
  </si>
  <si>
    <t>3821600090L</t>
  </si>
  <si>
    <t>Flat CV 21 600   900 LEFT</t>
  </si>
  <si>
    <t>3821600100L</t>
  </si>
  <si>
    <t>Flat CV 21 600 1000 LEFT</t>
  </si>
  <si>
    <t>3821600110L</t>
  </si>
  <si>
    <t>Flat CV 21 600 1100 LEFT</t>
  </si>
  <si>
    <t>3821600120L</t>
  </si>
  <si>
    <t>Flat CV 21 600 1200 LEFT</t>
  </si>
  <si>
    <t>3821600140L</t>
  </si>
  <si>
    <t>Flat CV 21 600 1400 LEFT</t>
  </si>
  <si>
    <t>3821600160L</t>
  </si>
  <si>
    <t>Flat CV 21 600 1600 LEFT</t>
  </si>
  <si>
    <t>3821600180L</t>
  </si>
  <si>
    <t>Flat CV 21 600 1800 LEFT</t>
  </si>
  <si>
    <t>3821600200L</t>
  </si>
  <si>
    <t>Flat CV 21 600 2000 LEFT</t>
  </si>
  <si>
    <t>3821600230L</t>
  </si>
  <si>
    <t>Flat CV 21 600 2300 LEFT</t>
  </si>
  <si>
    <t>3821600260L</t>
  </si>
  <si>
    <t>Flat CV 21 600 2600 LEFT</t>
  </si>
  <si>
    <t>3821600300L</t>
  </si>
  <si>
    <t>Flat CV 21 600 3000 LEFT</t>
  </si>
  <si>
    <t>3821900040L</t>
  </si>
  <si>
    <t>Flat CV 21 900   400 LEFT</t>
  </si>
  <si>
    <t>3821900050L</t>
  </si>
  <si>
    <t>Flat CV 21 900   500 LEFT</t>
  </si>
  <si>
    <t>3821900060L</t>
  </si>
  <si>
    <t>Flat CV 21 900   600 LEFT</t>
  </si>
  <si>
    <t>3821900070L</t>
  </si>
  <si>
    <t>Flat CV 21 900   700 LEFT</t>
  </si>
  <si>
    <t>3821900080L</t>
  </si>
  <si>
    <t>Flat CV 21 900   800 LEFT</t>
  </si>
  <si>
    <t>3821900090L</t>
  </si>
  <si>
    <t>Flat CV 21 900   900 LEFT</t>
  </si>
  <si>
    <t>3821900100L</t>
  </si>
  <si>
    <t>Flat CV 21 900 1000 LEFT</t>
  </si>
  <si>
    <t>3821900110L</t>
  </si>
  <si>
    <t>Flat CV 21 900 1100 LEFT</t>
  </si>
  <si>
    <t>3821900120L</t>
  </si>
  <si>
    <t>Flat CV 21 900 1200 LEFT</t>
  </si>
  <si>
    <t>3821900140L</t>
  </si>
  <si>
    <t>Flat CV 21 900 1400 LEFT</t>
  </si>
  <si>
    <t>3821900160L</t>
  </si>
  <si>
    <t>Flat CV 21 900 1600 LEFT</t>
  </si>
  <si>
    <t>3821900180L</t>
  </si>
  <si>
    <t>Flat CV 21 900 1800 LEFT</t>
  </si>
  <si>
    <t>3821900200L</t>
  </si>
  <si>
    <t>Flat CV 21 900 2000 LEFT</t>
  </si>
  <si>
    <t>3822200060L</t>
  </si>
  <si>
    <t>Flat CV 22 200   600 LEFT</t>
  </si>
  <si>
    <t>3822200070L</t>
  </si>
  <si>
    <t>Flat CV 22 200   700 LEFT</t>
  </si>
  <si>
    <t>3822200080L</t>
  </si>
  <si>
    <t>Flat CV 22 200   800 LEFT</t>
  </si>
  <si>
    <t>3822200090L</t>
  </si>
  <si>
    <t>Flat CV 22 200   900 LEFT</t>
  </si>
  <si>
    <t>3822200100L</t>
  </si>
  <si>
    <t>Flat CV 22 200 1000 LEFT</t>
  </si>
  <si>
    <t>3822200110L</t>
  </si>
  <si>
    <t>Flat CV 22 200 1100 LEFT</t>
  </si>
  <si>
    <t>3822200120L</t>
  </si>
  <si>
    <t>Flat CV 22 200 1200 LEFT</t>
  </si>
  <si>
    <t>3822200140L</t>
  </si>
  <si>
    <t>Flat CV 22 200 1400 LEFT</t>
  </si>
  <si>
    <t>3822200160L</t>
  </si>
  <si>
    <t>Flat CV 22 200 1600 LEFT</t>
  </si>
  <si>
    <t>3822200180L</t>
  </si>
  <si>
    <t>Flat CV 22 200 1800 LEFT</t>
  </si>
  <si>
    <t>3822200200L</t>
  </si>
  <si>
    <t>Flat CV 22 200 2000 LEFT</t>
  </si>
  <si>
    <t>3822200230L</t>
  </si>
  <si>
    <t>Flat CV 22 200 2300 LEFT</t>
  </si>
  <si>
    <t>3822200260L</t>
  </si>
  <si>
    <t>Flat CV 22 200 2600 LEFT</t>
  </si>
  <si>
    <t>3822200300L</t>
  </si>
  <si>
    <t>Flat CV 22 200 3000 LEFT</t>
  </si>
  <si>
    <t>3822300040L</t>
  </si>
  <si>
    <t>Flat CV 22 300   400 LEFT</t>
  </si>
  <si>
    <t>3822300050L</t>
  </si>
  <si>
    <t>Flat CV 22 300   500 LEFT</t>
  </si>
  <si>
    <t>3822300060L</t>
  </si>
  <si>
    <t>Flat CV 22 300   600 LEFT</t>
  </si>
  <si>
    <t>3822300070L</t>
  </si>
  <si>
    <t>Flat CV 22 300   700 LEFT</t>
  </si>
  <si>
    <t>3822300080L</t>
  </si>
  <si>
    <t>Flat CV 22 300   800 LEFT</t>
  </si>
  <si>
    <t>3822300090L</t>
  </si>
  <si>
    <t>Flat CV 22 300   900 LEFT</t>
  </si>
  <si>
    <t>3822300100L</t>
  </si>
  <si>
    <t>Flat CV 22 300 1000 LEFT</t>
  </si>
  <si>
    <t>3822300110L</t>
  </si>
  <si>
    <t>Flat CV 22 300 1100 LEFT</t>
  </si>
  <si>
    <t>3822300120L</t>
  </si>
  <si>
    <t>Flat CV 22 300 1200 LEFT</t>
  </si>
  <si>
    <t>3822300140L</t>
  </si>
  <si>
    <t>Flat CV 22 300 1400 LEFT</t>
  </si>
  <si>
    <t>3822300160L</t>
  </si>
  <si>
    <t>Flat CV 22 300 1600 LEFT</t>
  </si>
  <si>
    <t>3822300180L</t>
  </si>
  <si>
    <t>Flat CV 22 300 1800 LEFT</t>
  </si>
  <si>
    <t>3822300200L</t>
  </si>
  <si>
    <t>Flat CV 22 300 2000 LEFT</t>
  </si>
  <si>
    <t>3822300230L</t>
  </si>
  <si>
    <t>Flat CV 22 300 2300 LEFT</t>
  </si>
  <si>
    <t>3822300260L</t>
  </si>
  <si>
    <t>Flat CV 22 300 2600 LEFT</t>
  </si>
  <si>
    <t>3822300300L</t>
  </si>
  <si>
    <t>Flat CV 22 300 3000 LEFT</t>
  </si>
  <si>
    <t>3822400040L</t>
  </si>
  <si>
    <t>Flat CV 22 400   400 LEFT</t>
  </si>
  <si>
    <t>3822400050L</t>
  </si>
  <si>
    <t>Flat CV 22 400   500 LEFT</t>
  </si>
  <si>
    <t>3822400060L</t>
  </si>
  <si>
    <t>Flat CV 22 400   600 LEFT</t>
  </si>
  <si>
    <t>3822400070L</t>
  </si>
  <si>
    <t>Flat CV 22 400   700 LEFT</t>
  </si>
  <si>
    <t>3822400080L</t>
  </si>
  <si>
    <t>Flat CV 22 400   800 LEFT</t>
  </si>
  <si>
    <t>3822400090L</t>
  </si>
  <si>
    <t>Flat CV 22 400   900 LEFT</t>
  </si>
  <si>
    <t>3822400100L</t>
  </si>
  <si>
    <t>Flat CV 22 400 1000 LEFT</t>
  </si>
  <si>
    <t>3822400110L</t>
  </si>
  <si>
    <t>Flat CV 22 400 1100 LEFT</t>
  </si>
  <si>
    <t>3822400120L</t>
  </si>
  <si>
    <t>Flat CV 22 400 1200 LEFT</t>
  </si>
  <si>
    <t>3822400140L</t>
  </si>
  <si>
    <t>Flat CV 22 400 1400 LEFT</t>
  </si>
  <si>
    <t>3822400160L</t>
  </si>
  <si>
    <t>Flat CV 22 400 1600 LEFT</t>
  </si>
  <si>
    <t>3822400180L</t>
  </si>
  <si>
    <t>Flat CV 22 400 1800 LEFT</t>
  </si>
  <si>
    <t>3822400200L</t>
  </si>
  <si>
    <t>Flat CV 22 400 2000 LEFT</t>
  </si>
  <si>
    <t>3822400230L</t>
  </si>
  <si>
    <t>Flat CV 22 400 2300 LEFT</t>
  </si>
  <si>
    <t>3822400260L</t>
  </si>
  <si>
    <t>Flat CV 22 400 2600 LEFT</t>
  </si>
  <si>
    <t>3822400300L</t>
  </si>
  <si>
    <t>Flat CV 22 400 3000 LEFT</t>
  </si>
  <si>
    <t>3822500040L</t>
  </si>
  <si>
    <t>Flat CV 22 500   400 LEFT</t>
  </si>
  <si>
    <t>3822500050L</t>
  </si>
  <si>
    <t>Flat CV 22 500   500 LEFT</t>
  </si>
  <si>
    <t>3822500060L</t>
  </si>
  <si>
    <t>Flat CV 22 500   600 LEFT</t>
  </si>
  <si>
    <t>3822500070L</t>
  </si>
  <si>
    <t>Flat CV 22 500   700 LEFT</t>
  </si>
  <si>
    <t>3822500080L</t>
  </si>
  <si>
    <t>Flat CV 22 500   800 LEFT</t>
  </si>
  <si>
    <t>3822500090L</t>
  </si>
  <si>
    <t>Flat CV 22 500   900 LEFT</t>
  </si>
  <si>
    <t>3822500100L</t>
  </si>
  <si>
    <t>Flat CV 22 500 1000 LEFT</t>
  </si>
  <si>
    <t>3822500110L</t>
  </si>
  <si>
    <t>Flat CV 22 500 1100 LEFT</t>
  </si>
  <si>
    <t>3822500120L</t>
  </si>
  <si>
    <t>Flat CV 22 500 1200 LEFT</t>
  </si>
  <si>
    <t>3822500140L</t>
  </si>
  <si>
    <t>Flat CV 22 500 1400 LEFT</t>
  </si>
  <si>
    <t>3822500160L</t>
  </si>
  <si>
    <t>Flat CV 22 500 1600 LEFT</t>
  </si>
  <si>
    <t>3822500180L</t>
  </si>
  <si>
    <t>Flat CV 22 500 1800 LEFT</t>
  </si>
  <si>
    <t>3822500200L</t>
  </si>
  <si>
    <t>Flat CV 22 500 2000 LEFT</t>
  </si>
  <si>
    <t>3822500230L</t>
  </si>
  <si>
    <t>Flat CV 22 500 2300 LEFT</t>
  </si>
  <si>
    <t>3822500260L</t>
  </si>
  <si>
    <t>Flat CV 22 500 2600 LEFT</t>
  </si>
  <si>
    <t>3822500300L</t>
  </si>
  <si>
    <t>Flat CV 22 500 3000 LEFT</t>
  </si>
  <si>
    <t>3822600040L</t>
  </si>
  <si>
    <t>Flat CV 22 600   400 LEFT</t>
  </si>
  <si>
    <t>3822600050L</t>
  </si>
  <si>
    <t>Flat CV 22 600   500 LEFT</t>
  </si>
  <si>
    <t>3822600060L</t>
  </si>
  <si>
    <t>Flat CV 22 600   600 LEFT</t>
  </si>
  <si>
    <t>3822600070L</t>
  </si>
  <si>
    <t>Flat CV 22 600   700 LEFT</t>
  </si>
  <si>
    <t>3822600080L</t>
  </si>
  <si>
    <t>Flat CV 22 600   800 LEFT</t>
  </si>
  <si>
    <t>3822600090L</t>
  </si>
  <si>
    <t>Flat CV 22 600   900 LEFT</t>
  </si>
  <si>
    <t>3822600100L</t>
  </si>
  <si>
    <t>Flat CV 22 600 1000 LEFT</t>
  </si>
  <si>
    <t>3822600110L</t>
  </si>
  <si>
    <t>Flat CV 22 600 1100 LEFT</t>
  </si>
  <si>
    <t>3822600120L</t>
  </si>
  <si>
    <t>Flat CV 22 600 1200 LEFT</t>
  </si>
  <si>
    <t>3822600140L</t>
  </si>
  <si>
    <t>Flat CV 22 600 1400 LEFT</t>
  </si>
  <si>
    <t>3822600160L</t>
  </si>
  <si>
    <t>Flat CV 22 600 1600 LEFT</t>
  </si>
  <si>
    <t>3822600180L</t>
  </si>
  <si>
    <t>Flat CV 22 600 1800 LEFT</t>
  </si>
  <si>
    <t>3822600200L</t>
  </si>
  <si>
    <t>Flat CV 22 600 2000 LEFT</t>
  </si>
  <si>
    <t>3822600230L</t>
  </si>
  <si>
    <t>Flat CV 22 600 2300 LEFT</t>
  </si>
  <si>
    <t>3822600260L</t>
  </si>
  <si>
    <t>Flat CV 22 600 2600 LEFT</t>
  </si>
  <si>
    <t>3822600300L</t>
  </si>
  <si>
    <t>Flat CV 22 600 3000 LEFT</t>
  </si>
  <si>
    <t>3822900040L</t>
  </si>
  <si>
    <t>Flat CV 22 900   400 LEFT</t>
  </si>
  <si>
    <t>3822900050L</t>
  </si>
  <si>
    <t>Flat CV 22 900   500 LEFT</t>
  </si>
  <si>
    <t>3822900060L</t>
  </si>
  <si>
    <t>Flat CV 22 900   600 LEFT</t>
  </si>
  <si>
    <t>3822900070L</t>
  </si>
  <si>
    <t>Flat CV 22 900   700 LEFT</t>
  </si>
  <si>
    <t>3822900080L</t>
  </si>
  <si>
    <t>Flat CV 22 900   800 LEFT</t>
  </si>
  <si>
    <t>3822900090L</t>
  </si>
  <si>
    <t>Flat CV 22 900   900 LEFT</t>
  </si>
  <si>
    <t>3822900100L</t>
  </si>
  <si>
    <t>Flat CV 22 900 1000 LEFT</t>
  </si>
  <si>
    <t>3822900110L</t>
  </si>
  <si>
    <t>Flat CV 22 900 1100 LEFT</t>
  </si>
  <si>
    <t>3822900120L</t>
  </si>
  <si>
    <t>Flat CV 22 900 1200 LEFT</t>
  </si>
  <si>
    <t>3822900140L</t>
  </si>
  <si>
    <t>Flat CV 22 900 1400 LEFT</t>
  </si>
  <si>
    <t>3822900160L</t>
  </si>
  <si>
    <t>Flat CV 22 900 1600 LEFT</t>
  </si>
  <si>
    <t>3822900180L</t>
  </si>
  <si>
    <t>Flat CV 22 900 1800 LEFT</t>
  </si>
  <si>
    <t>3822900200L</t>
  </si>
  <si>
    <t>Flat CV 22 900 2000 LEFT</t>
  </si>
  <si>
    <t>3833200060L</t>
  </si>
  <si>
    <t>Flat CV 33 200   600 LEFT</t>
  </si>
  <si>
    <t>3833200070L</t>
  </si>
  <si>
    <t>Flat CV 33 200   700 LEFT</t>
  </si>
  <si>
    <t>3833200080L</t>
  </si>
  <si>
    <t>Flat CV 33 200   800 LEFT</t>
  </si>
  <si>
    <t>3833200090L</t>
  </si>
  <si>
    <t>Flat CV 33 200   900 LEFT</t>
  </si>
  <si>
    <t>3833200100L</t>
  </si>
  <si>
    <t>Flat CV 33 200 1000 LEFT</t>
  </si>
  <si>
    <t>3833200110L</t>
  </si>
  <si>
    <t>Flat CV 33 200 1100 LEFT</t>
  </si>
  <si>
    <t>3833200120L</t>
  </si>
  <si>
    <t>Flat CV 33 200 1200 LEFT</t>
  </si>
  <si>
    <t>3833200140L</t>
  </si>
  <si>
    <t>Flat CV 33 200 1400 LEFT</t>
  </si>
  <si>
    <t>3833200160L</t>
  </si>
  <si>
    <t>Flat CV 33 200 1600 LEFT</t>
  </si>
  <si>
    <t>3833200180L</t>
  </si>
  <si>
    <t>Flat CV 33 200 1800 LEFT</t>
  </si>
  <si>
    <t>3833200200L</t>
  </si>
  <si>
    <t>Flat CV 33 200 2000 LEFT</t>
  </si>
  <si>
    <t>3833200230L</t>
  </si>
  <si>
    <t>Flat CV 33 200 2300 LEFT</t>
  </si>
  <si>
    <t>3833200260L</t>
  </si>
  <si>
    <t>Flat CV 33 200 2600 LEFT</t>
  </si>
  <si>
    <t>3833200300L</t>
  </si>
  <si>
    <t>Flat CV 33 200 3000 LEFT</t>
  </si>
  <si>
    <t>3833300040L</t>
  </si>
  <si>
    <t>Flat CV 33 300   400 LEFT</t>
  </si>
  <si>
    <t>3833300050L</t>
  </si>
  <si>
    <t>Flat CV 33 300   500 LEFT</t>
  </si>
  <si>
    <t>3833300060L</t>
  </si>
  <si>
    <t>Flat CV 33 300   600 LEFT</t>
  </si>
  <si>
    <t>3833300070L</t>
  </si>
  <si>
    <t>Flat CV 33 300   700 LEFT</t>
  </si>
  <si>
    <t>3833300080L</t>
  </si>
  <si>
    <t>Flat CV 33 300   800 LEFT</t>
  </si>
  <si>
    <t>3833300090L</t>
  </si>
  <si>
    <t>Flat CV 33 300   900 LEFT</t>
  </si>
  <si>
    <t>3833300100L</t>
  </si>
  <si>
    <t>Flat CV 33 300 1000 LEFT</t>
  </si>
  <si>
    <t>3833300110L</t>
  </si>
  <si>
    <t>Flat CV 33 300 1100 LEFT</t>
  </si>
  <si>
    <t>3833300120L</t>
  </si>
  <si>
    <t>Flat CV 33 300 1200 LEFT</t>
  </si>
  <si>
    <t>3833300140L</t>
  </si>
  <si>
    <t>Flat CV 33 300 1400 LEFT</t>
  </si>
  <si>
    <t>3833300160L</t>
  </si>
  <si>
    <t>Flat CV 33 300 1600 LEFT</t>
  </si>
  <si>
    <t>3833300180L</t>
  </si>
  <si>
    <t>Flat CV 33 300 1800 LEFT</t>
  </si>
  <si>
    <t>3833300200L</t>
  </si>
  <si>
    <t>Flat CV 33 300 2000 LEFT</t>
  </si>
  <si>
    <t>3833300230L</t>
  </si>
  <si>
    <t>Flat CV 33 300 2300 LEFT</t>
  </si>
  <si>
    <t>3833300260L</t>
  </si>
  <si>
    <t>Flat CV 33 300 2600 LEFT</t>
  </si>
  <si>
    <t>3833300300L</t>
  </si>
  <si>
    <t>Flat CV 33 300 3000 LEFT</t>
  </si>
  <si>
    <t>3833400040L</t>
  </si>
  <si>
    <t>Flat CV 33 400   400 LEFT</t>
  </si>
  <si>
    <t>3833400050L</t>
  </si>
  <si>
    <t>Flat CV 33 400   500 LEFT</t>
  </si>
  <si>
    <t>3833400060L</t>
  </si>
  <si>
    <t>Flat CV 33 400   600 LEFT</t>
  </si>
  <si>
    <t>3833400070L</t>
  </si>
  <si>
    <t>Flat CV 33 400   700 LEFT</t>
  </si>
  <si>
    <t>3833400080L</t>
  </si>
  <si>
    <t>Flat CV 33 400   800 LEFT</t>
  </si>
  <si>
    <t>3833400090L</t>
  </si>
  <si>
    <t>Flat CV 33 400   900 LEFT</t>
  </si>
  <si>
    <t>3833400100L</t>
  </si>
  <si>
    <t>Flat CV 33 400 1000 LEFT</t>
  </si>
  <si>
    <t>3833400110L</t>
  </si>
  <si>
    <t>Flat CV 33 400 1100 LEFT</t>
  </si>
  <si>
    <t>3833400120L</t>
  </si>
  <si>
    <t>Flat CV 33 400 1200 LEFT</t>
  </si>
  <si>
    <t>3833400140L</t>
  </si>
  <si>
    <t>Flat CV 33 400 1400 LEFT</t>
  </si>
  <si>
    <t>3833400160L</t>
  </si>
  <si>
    <t>Flat CV 33 400 1600 LEFT</t>
  </si>
  <si>
    <t>3833400180L</t>
  </si>
  <si>
    <t>Flat CV 33 400 1800 LEFT</t>
  </si>
  <si>
    <t>3833400200L</t>
  </si>
  <si>
    <t>Flat CV 33 400 2000 LEFT</t>
  </si>
  <si>
    <t>3833400230L</t>
  </si>
  <si>
    <t>Flat CV 33 400 2300 LEFT</t>
  </si>
  <si>
    <t>3833400260L</t>
  </si>
  <si>
    <t>Flat CV 33 400 2600 LEFT</t>
  </si>
  <si>
    <t>3833400300L</t>
  </si>
  <si>
    <t>Flat CV 33 400 3000 LEFT</t>
  </si>
  <si>
    <t>3833500040L</t>
  </si>
  <si>
    <t>Flat CV 33 500   400 LEFT</t>
  </si>
  <si>
    <t>3833500050L</t>
  </si>
  <si>
    <t>Flat CV 33 500   500 LEFT</t>
  </si>
  <si>
    <t>3833500060L</t>
  </si>
  <si>
    <t>Flat CV 33 500   600 LEFT</t>
  </si>
  <si>
    <t>3833500070L</t>
  </si>
  <si>
    <t>Flat CV 33 500   700 LEFT</t>
  </si>
  <si>
    <t>3833500080L</t>
  </si>
  <si>
    <t>Flat CV 33 500   800 LEFT</t>
  </si>
  <si>
    <t>3833500090L</t>
  </si>
  <si>
    <t>Flat CV 33 500   900 LEFT</t>
  </si>
  <si>
    <t>3833500100L</t>
  </si>
  <si>
    <t>Flat CV 33 500 1000 LEFT</t>
  </si>
  <si>
    <t>3833500110L</t>
  </si>
  <si>
    <t>Flat CV 33 500 1100 LEFT</t>
  </si>
  <si>
    <t>3833500120L</t>
  </si>
  <si>
    <t>Flat CV 33 500 1200 LEFT</t>
  </si>
  <si>
    <t>3833500140L</t>
  </si>
  <si>
    <t>Flat CV 33 500 1400 LEFT</t>
  </si>
  <si>
    <t>3833500160L</t>
  </si>
  <si>
    <t>Flat CV 33 500 1600 LEFT</t>
  </si>
  <si>
    <t>3833500180L</t>
  </si>
  <si>
    <t>Flat CV 33 500 1800 LEFT</t>
  </si>
  <si>
    <t>3833500200L</t>
  </si>
  <si>
    <t>Flat CV 33 500 2000 LEFT</t>
  </si>
  <si>
    <t>3833500230L</t>
  </si>
  <si>
    <t>Flat CV 33 500 2300 LEFT</t>
  </si>
  <si>
    <t>3833500260L</t>
  </si>
  <si>
    <t>Flat CV 33 500 2600 LEFT</t>
  </si>
  <si>
    <t>3833500300L</t>
  </si>
  <si>
    <t>Flat CV 33 500 3000 LEFT</t>
  </si>
  <si>
    <t>3833600040L</t>
  </si>
  <si>
    <t>Flat CV 33 600   400 LEFT</t>
  </si>
  <si>
    <t>3833600050L</t>
  </si>
  <si>
    <t>Flat CV 33 600   500 LEFT</t>
  </si>
  <si>
    <t>3833600060L</t>
  </si>
  <si>
    <t>Flat CV 33 600   600 LEFT</t>
  </si>
  <si>
    <t>3833600070L</t>
  </si>
  <si>
    <t>Flat CV 33 600   700 LEFT</t>
  </si>
  <si>
    <t>3833600080L</t>
  </si>
  <si>
    <t>Flat CV 33 600   800 LEFT</t>
  </si>
  <si>
    <t>3833600090L</t>
  </si>
  <si>
    <t>Flat CV 33 600   900 LEFT</t>
  </si>
  <si>
    <t>3833600100L</t>
  </si>
  <si>
    <t>Flat CV 33 600 1000 LEFT</t>
  </si>
  <si>
    <t>3833600110L</t>
  </si>
  <si>
    <t>Flat CV 33 600 1100 LEFT</t>
  </si>
  <si>
    <t>3833600120L</t>
  </si>
  <si>
    <t>Flat CV 33 600 1200 LEFT</t>
  </si>
  <si>
    <t>3833600140L</t>
  </si>
  <si>
    <t>Flat CV 33 600 1400 LEFT</t>
  </si>
  <si>
    <t>3833600160L</t>
  </si>
  <si>
    <t>Flat CV 33 600 1600 LEFT</t>
  </si>
  <si>
    <t>3833600180L</t>
  </si>
  <si>
    <t>Flat CV 33 600 1800 LEFT</t>
  </si>
  <si>
    <t>3833600200L</t>
  </si>
  <si>
    <t>Flat CV 33 600 2000 LEFT</t>
  </si>
  <si>
    <t>3833600230L</t>
  </si>
  <si>
    <t>Flat CV 33 600 2300 LEFT</t>
  </si>
  <si>
    <t>3833600260L</t>
  </si>
  <si>
    <t>Flat CV 33 600 2600 LEFT</t>
  </si>
  <si>
    <t>3833600300L</t>
  </si>
  <si>
    <t>Flat CV 33 600 3000 LEFT</t>
  </si>
  <si>
    <t>3833900040L</t>
  </si>
  <si>
    <t>Flat CV 33 900   400 LEFT</t>
  </si>
  <si>
    <t>3833900050L</t>
  </si>
  <si>
    <t>Flat CV 33 900   500 LEFT</t>
  </si>
  <si>
    <t>3833900060L</t>
  </si>
  <si>
    <t>Flat CV 33 900   600 LEFT</t>
  </si>
  <si>
    <t>3833900070L</t>
  </si>
  <si>
    <t>Flat CV 33 900   700 LEFT</t>
  </si>
  <si>
    <t>3833900080L</t>
  </si>
  <si>
    <t>Flat CV 33 900   800 LEFT</t>
  </si>
  <si>
    <t>3833900090L</t>
  </si>
  <si>
    <t>Flat CV 33 900   900 LEFT</t>
  </si>
  <si>
    <t>3833900100L</t>
  </si>
  <si>
    <t>Flat CV 33 900 1000 LEFT</t>
  </si>
  <si>
    <t>3833900110L</t>
  </si>
  <si>
    <t>Flat CV 33 900 1100 LEFT</t>
  </si>
  <si>
    <t>3833900120L</t>
  </si>
  <si>
    <t>Flat CV 33 900 1200 LEFT</t>
  </si>
  <si>
    <t>3833900140L</t>
  </si>
  <si>
    <t>Flat CV 33 900 1400 LEFT</t>
  </si>
  <si>
    <t>3833900160L</t>
  </si>
  <si>
    <t>Flat CV 33 900 1600 LEFT</t>
  </si>
  <si>
    <t>3833900180L</t>
  </si>
  <si>
    <t>Flat CV 33 900 1800 LEFT</t>
  </si>
  <si>
    <t>3833900200L</t>
  </si>
  <si>
    <t>Flat CV 33 900 2000 LEFT</t>
  </si>
  <si>
    <t>3844200060L</t>
  </si>
  <si>
    <t>Flat CV 44 200   600 LEFT</t>
  </si>
  <si>
    <t>3844200070L</t>
  </si>
  <si>
    <t>Flat CV 44 200   700 LEFT</t>
  </si>
  <si>
    <t>3844200080L</t>
  </si>
  <si>
    <t>Flat CV 44 200   800 LEFT</t>
  </si>
  <si>
    <t>3844200090L</t>
  </si>
  <si>
    <t>Flat CV 44 200   900 LEFT</t>
  </si>
  <si>
    <t>3844200100L</t>
  </si>
  <si>
    <t>Flat CV 44 200 1000 LEFT</t>
  </si>
  <si>
    <t>3844200110L</t>
  </si>
  <si>
    <t>Flat CV 44 200 1100 LEFT</t>
  </si>
  <si>
    <t>3844200120L</t>
  </si>
  <si>
    <t>Flat CV 44 200 1200 LEFT</t>
  </si>
  <si>
    <t>3844200140L</t>
  </si>
  <si>
    <t>Flat CV 44 200 1400 LEFT</t>
  </si>
  <si>
    <t>3844200160L</t>
  </si>
  <si>
    <t>Flat CV 44 200 1600 LEFT</t>
  </si>
  <si>
    <t>3844200180L</t>
  </si>
  <si>
    <t>Flat CV 44 200 1800 LEFT</t>
  </si>
  <si>
    <t>3844200200L</t>
  </si>
  <si>
    <t>Flat CV 44 200 2000 LEFT</t>
  </si>
  <si>
    <t>3844200230L</t>
  </si>
  <si>
    <t>Flat CV 44 200 2300 LEFT</t>
  </si>
  <si>
    <t>3844200260L</t>
  </si>
  <si>
    <t>Flat CV 44 200 2600 LEFT</t>
  </si>
  <si>
    <t>3844200300L</t>
  </si>
  <si>
    <t>Flat CV 44 200 3000 LEFT</t>
  </si>
  <si>
    <t>Weight</t>
  </si>
  <si>
    <t>Heat output 75/65/20°C</t>
  </si>
  <si>
    <t>Flat Compact 33 550   400</t>
  </si>
  <si>
    <t>Flat Compact 33 550   500</t>
  </si>
  <si>
    <t>Flat Compact 33 550   600</t>
  </si>
  <si>
    <t>Flat Compact 33 550   700</t>
  </si>
  <si>
    <t>Flat Compact 33 550   800</t>
  </si>
  <si>
    <t>Flat Compact 33 550   900</t>
  </si>
  <si>
    <t>Flat Compact 33 550 1000</t>
  </si>
  <si>
    <t>Flat Compact 33 550 1100</t>
  </si>
  <si>
    <t>Flat Compact 33 550 1200</t>
  </si>
  <si>
    <t>Flat Compact 33 550 1400</t>
  </si>
  <si>
    <t>Flat Compact 33 550 1600</t>
  </si>
  <si>
    <t>Flat Compact 33 550 1800</t>
  </si>
  <si>
    <t>Flat Compact 33 550 2000</t>
  </si>
  <si>
    <t>Flat Compact 33 550 2300</t>
  </si>
  <si>
    <t>Flat Compact 33 550 2600</t>
  </si>
  <si>
    <t>Flat Compact 33 550 3000</t>
  </si>
  <si>
    <t>Flat Compact 22 550   400</t>
  </si>
  <si>
    <t>Flat Compact 22 550   500</t>
  </si>
  <si>
    <t>Flat Compact 22 550   600</t>
  </si>
  <si>
    <t>Flat Compact 22 550   700</t>
  </si>
  <si>
    <t>Flat Compact 22 550   800</t>
  </si>
  <si>
    <t>Flat Compact 22 550   900</t>
  </si>
  <si>
    <t>Flat Compact 22 550 1000</t>
  </si>
  <si>
    <t>Flat Compact 22 550 1100</t>
  </si>
  <si>
    <t>Flat Compact 22 550 1200</t>
  </si>
  <si>
    <t>Flat Compact 22 550 1400</t>
  </si>
  <si>
    <t>Flat Compact 22 550 1600</t>
  </si>
  <si>
    <t>Flat Compact 22 550 1800</t>
  </si>
  <si>
    <t>Flat Compact 22 550 2000</t>
  </si>
  <si>
    <t>Flat Compact 22 550 2300</t>
  </si>
  <si>
    <t>Flat Compact 22 550 2600</t>
  </si>
  <si>
    <t>Flat Compact 22 550 3000</t>
  </si>
  <si>
    <t>Flat Compact 21 550   400</t>
  </si>
  <si>
    <t>Flat Compact 21 550   500</t>
  </si>
  <si>
    <t>Flat Compact 21 550   600</t>
  </si>
  <si>
    <t>Flat Compact 21 550   700</t>
  </si>
  <si>
    <t>Flat Compact 21 550   800</t>
  </si>
  <si>
    <t>Flat Compact 21 550   900</t>
  </si>
  <si>
    <t>Flat Compact 21 550 1000</t>
  </si>
  <si>
    <t>Flat Compact 21 550 1100</t>
  </si>
  <si>
    <t>Flat Compact 21 550 1200</t>
  </si>
  <si>
    <t>Flat Compact 21 550 1400</t>
  </si>
  <si>
    <t>Flat Compact 21 550 1600</t>
  </si>
  <si>
    <t>Flat Compact 21 550 1800</t>
  </si>
  <si>
    <t>Flat Compact 21 550 2000</t>
  </si>
  <si>
    <t>Flat Compact 21 550 2300</t>
  </si>
  <si>
    <t>Flat Compact 21 550 2600</t>
  </si>
  <si>
    <t>Flat Compact 21 550 3000</t>
  </si>
  <si>
    <t>Flat Compact 11 550   400</t>
  </si>
  <si>
    <t>Flat Compact 11 550   500</t>
  </si>
  <si>
    <t>Flat Compact 11 550   600</t>
  </si>
  <si>
    <t>Flat Compact 11 550   700</t>
  </si>
  <si>
    <t>Flat Compact 11 550   800</t>
  </si>
  <si>
    <t>Flat Compact 11 550   900</t>
  </si>
  <si>
    <t>Flat Compact 11 550 1000</t>
  </si>
  <si>
    <t>Flat Compact 11 550 1100</t>
  </si>
  <si>
    <t>Flat Compact 11 550 1200</t>
  </si>
  <si>
    <t>Flat Compact 11 550 1400</t>
  </si>
  <si>
    <t>Flat Compact 11 550 1600</t>
  </si>
  <si>
    <t>Flat Compact 11 550 1800</t>
  </si>
  <si>
    <t>Flat Compact 11 550 2000</t>
  </si>
  <si>
    <t>Flat Compact 11 550 2300</t>
  </si>
  <si>
    <t>Flat Compact 11 550 2600</t>
  </si>
  <si>
    <t>Flat Compact 11 550 3000</t>
  </si>
  <si>
    <t>Tootekood</t>
  </si>
  <si>
    <t>Nimetus</t>
  </si>
  <si>
    <t>Allahindlus</t>
  </si>
  <si>
    <t>Letihind</t>
  </si>
  <si>
    <t>Soodushind</t>
  </si>
  <si>
    <t>EUR/tk.</t>
  </si>
  <si>
    <t>Tüüp</t>
  </si>
  <si>
    <t>Kõrgus</t>
  </si>
  <si>
    <t>Laius</t>
  </si>
  <si>
    <t>Lõrgus</t>
  </si>
  <si>
    <t>Allahindlus:</t>
  </si>
  <si>
    <t xml:space="preserve">Allahindlus: </t>
  </si>
  <si>
    <t>HEKAMERK OÜ</t>
  </si>
  <si>
    <t>www.hekamerk.ee</t>
  </si>
  <si>
    <t>10.04</t>
  </si>
  <si>
    <t>LEIVA 4, 12618 TALLINN</t>
  </si>
  <si>
    <t>TEL. 6776 300</t>
  </si>
  <si>
    <t>info@hekamerk.ee</t>
  </si>
  <si>
    <t>HINNAKIRI</t>
  </si>
  <si>
    <t>JAANUAR 2021</t>
  </si>
  <si>
    <t>TERASRADIAATORID PURMO COMPACT</t>
  </si>
  <si>
    <t>TERASRADIAATORID PURMO COMPACT VENTIL</t>
  </si>
  <si>
    <t>TERASRADIAATORID PURMO PLAN COMPACT</t>
  </si>
  <si>
    <t>TERASRADIAATORID PURMO PLAN COMPACT VENTIL</t>
  </si>
  <si>
    <t>TERASRADIAATORID PURMO RAMO COMPACT</t>
  </si>
  <si>
    <t>TERASRADIAATORID PURMO RAMO COMPACT VENTIL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</si>
</sst>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ahoma"/>
      <family val="2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u/>
      <sz val="10"/>
      <color theme="10"/>
      <name val="Calibri"/>
      <family val="2"/>
      <charset val="186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4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/>
    <xf numFmtId="0" fontId="3" fillId="0" borderId="0"/>
    <xf numFmtId="0" fontId="7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2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9" fontId="14" fillId="0" borderId="0" xfId="0" applyNumberFormat="1" applyFont="1" applyFill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3" borderId="0" xfId="0" applyNumberFormat="1" applyFont="1" applyFill="1" applyAlignment="1">
      <alignment horizontal="center"/>
    </xf>
    <xf numFmtId="0" fontId="15" fillId="0" borderId="0" xfId="15" applyFont="1"/>
    <xf numFmtId="0" fontId="12" fillId="0" borderId="0" xfId="0" applyFont="1"/>
    <xf numFmtId="0" fontId="13" fillId="0" borderId="0" xfId="0" applyFont="1" applyFill="1"/>
    <xf numFmtId="2" fontId="13" fillId="0" borderId="0" xfId="0" applyNumberFormat="1" applyFont="1" applyFill="1" applyAlignment="1">
      <alignment horizontal="center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49" fontId="18" fillId="0" borderId="0" xfId="0" applyNumberFormat="1" applyFont="1" applyAlignment="1" applyProtection="1">
      <alignment horizontal="right"/>
      <protection hidden="1"/>
    </xf>
    <xf numFmtId="0" fontId="17" fillId="0" borderId="0" xfId="0" applyFont="1" applyProtection="1">
      <protection locked="0"/>
    </xf>
    <xf numFmtId="0" fontId="17" fillId="0" borderId="0" xfId="0" applyFont="1"/>
    <xf numFmtId="0" fontId="19" fillId="0" borderId="0" xfId="15" applyFont="1" applyAlignment="1" applyProtection="1">
      <protection hidden="1"/>
    </xf>
    <xf numFmtId="0" fontId="19" fillId="0" borderId="0" xfId="15" applyFont="1" applyAlignment="1" applyProtection="1">
      <alignment horizontal="left"/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quotePrefix="1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</cellXfs>
  <cellStyles count="16">
    <cellStyle name="Hyperlink" xfId="15" builtinId="8"/>
    <cellStyle name="Normal" xfId="0" builtinId="0"/>
    <cellStyle name="Normal 2" xfId="1"/>
    <cellStyle name="Normal 2 2" xfId="5"/>
    <cellStyle name="Normal 2 2 2" xfId="12"/>
    <cellStyle name="Normal 2 3" xfId="10"/>
    <cellStyle name="Normal 3" xfId="2"/>
    <cellStyle name="Normal 3 2" xfId="11"/>
    <cellStyle name="Normal 4" xfId="3"/>
    <cellStyle name="Normal 4 2" xfId="6"/>
    <cellStyle name="Normal 5" xfId="7"/>
    <cellStyle name="Normal 6" xfId="9"/>
    <cellStyle name="Normal 7" xfId="13"/>
    <cellStyle name="Normal 8" xfId="14"/>
    <cellStyle name="Normalny_Arkusz1" xfId="8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324411</xdr:colOff>
      <xdr:row>0</xdr:row>
      <xdr:rowOff>142875</xdr:rowOff>
    </xdr:from>
    <xdr:to>
      <xdr:col>6</xdr:col>
      <xdr:colOff>514351</xdr:colOff>
      <xdr:row>2</xdr:row>
      <xdr:rowOff>152400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661" y="142875"/>
          <a:ext cx="14472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324411</xdr:colOff>
      <xdr:row>0</xdr:row>
      <xdr:rowOff>142875</xdr:rowOff>
    </xdr:from>
    <xdr:to>
      <xdr:col>6</xdr:col>
      <xdr:colOff>514351</xdr:colOff>
      <xdr:row>3</xdr:row>
      <xdr:rowOff>57150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661" y="142875"/>
          <a:ext cx="14472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324411</xdr:colOff>
      <xdr:row>0</xdr:row>
      <xdr:rowOff>85725</xdr:rowOff>
    </xdr:from>
    <xdr:to>
      <xdr:col>6</xdr:col>
      <xdr:colOff>514351</xdr:colOff>
      <xdr:row>3</xdr:row>
      <xdr:rowOff>28575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661" y="85725"/>
          <a:ext cx="144724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333936</xdr:colOff>
      <xdr:row>0</xdr:row>
      <xdr:rowOff>123825</xdr:rowOff>
    </xdr:from>
    <xdr:to>
      <xdr:col>6</xdr:col>
      <xdr:colOff>523876</xdr:colOff>
      <xdr:row>3</xdr:row>
      <xdr:rowOff>28575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711" y="123825"/>
          <a:ext cx="14472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85725</xdr:rowOff>
    </xdr:from>
    <xdr:to>
      <xdr:col>6</xdr:col>
      <xdr:colOff>495301</xdr:colOff>
      <xdr:row>3</xdr:row>
      <xdr:rowOff>9525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85725"/>
          <a:ext cx="1438276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343461</xdr:colOff>
      <xdr:row>0</xdr:row>
      <xdr:rowOff>76200</xdr:rowOff>
    </xdr:from>
    <xdr:to>
      <xdr:col>6</xdr:col>
      <xdr:colOff>533401</xdr:colOff>
      <xdr:row>2</xdr:row>
      <xdr:rowOff>152400</xdr:rowOff>
    </xdr:to>
    <xdr:pic>
      <xdr:nvPicPr>
        <xdr:cNvPr id="3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28E55BD-AC62-4B58-A8C1-3AA26D65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5011" y="76200"/>
          <a:ext cx="144724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oorcc-my.sharepoint.com/Users/Risto/AppData/Local/Microsoft/Windows/Temporary%20Internet%20Files/Content.Outlook/HU1GNVBM/Purmo/Hinnakiri%201.10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VKO (SC)"/>
      <sheetName val="Plano"/>
      <sheetName val="PURMOKON"/>
      <sheetName val="Varusteet"/>
      <sheetName val="TW"/>
    </sheetNames>
    <sheetDataSet>
      <sheetData sheetId="0">
        <row r="24">
          <cell r="A24">
            <v>0.39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hekamerk.e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info@hekamerk.e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info@hekamerk.e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info@hekamerk.ee" TargetMode="External"/><Relationship Id="rId1" Type="http://schemas.openxmlformats.org/officeDocument/2006/relationships/hyperlink" Target="http://www.hekamerk.e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0"/>
  <sheetViews>
    <sheetView tabSelected="1" workbookViewId="0">
      <pane ySplit="10" topLeftCell="A11" activePane="bottomLeft" state="frozen"/>
      <selection activeCell="A2" sqref="A2"/>
      <selection pane="bottomLeft" activeCell="G9" sqref="G9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85546875" style="2" bestFit="1" customWidth="1"/>
    <col min="4" max="4" width="11.42578125" style="2" customWidth="1"/>
    <col min="5" max="5" width="25.85546875" style="2" bestFit="1" customWidth="1"/>
    <col min="6" max="6" width="18.85546875" style="2" bestFit="1" customWidth="1"/>
    <col min="7" max="7" width="21.42578125" style="8" bestFit="1" customWidth="1"/>
    <col min="8" max="8" width="9.140625" style="2" hidden="1" customWidth="1"/>
    <col min="9" max="9" width="20.5703125" style="2" hidden="1" customWidth="1"/>
    <col min="10" max="10" width="9.140625" style="2" hidden="1" customWidth="1"/>
    <col min="11" max="12" width="9.140625" style="2" customWidth="1"/>
    <col min="13" max="15" width="0" style="2" hidden="1"/>
    <col min="16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5346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ht="21" customHeight="1" x14ac:dyDescent="0.2">
      <c r="A9" s="1" t="s">
        <v>5331</v>
      </c>
      <c r="F9" s="3" t="s">
        <v>5328</v>
      </c>
      <c r="G9" s="4">
        <v>0</v>
      </c>
      <c r="H9" s="5">
        <f>(1-G9)</f>
        <v>1</v>
      </c>
      <c r="I9" s="5"/>
      <c r="J9" s="5"/>
    </row>
    <row r="10" spans="1:11" s="8" customFormat="1" x14ac:dyDescent="0.2">
      <c r="A10" s="6" t="s">
        <v>5326</v>
      </c>
      <c r="B10" s="6" t="s">
        <v>5332</v>
      </c>
      <c r="C10" s="6" t="s">
        <v>5333</v>
      </c>
      <c r="D10" s="6" t="s">
        <v>5334</v>
      </c>
      <c r="E10" s="6" t="s">
        <v>5327</v>
      </c>
      <c r="F10" s="6" t="s">
        <v>5329</v>
      </c>
      <c r="G10" s="7" t="s">
        <v>5330</v>
      </c>
      <c r="I10" s="8" t="s">
        <v>5261</v>
      </c>
      <c r="J10" s="8" t="s">
        <v>5260</v>
      </c>
    </row>
    <row r="11" spans="1:11" x14ac:dyDescent="0.2">
      <c r="A11" s="9" t="s">
        <v>1112</v>
      </c>
      <c r="B11" s="9">
        <v>11</v>
      </c>
      <c r="C11" s="9">
        <v>300</v>
      </c>
      <c r="D11" s="9">
        <v>400</v>
      </c>
      <c r="E11" s="14" t="s">
        <v>1113</v>
      </c>
      <c r="F11" s="15">
        <v>50.63</v>
      </c>
      <c r="G11" s="11">
        <f>(Compact)*50.63</f>
        <v>50.63</v>
      </c>
    </row>
    <row r="12" spans="1:11" x14ac:dyDescent="0.2">
      <c r="A12" s="9" t="s">
        <v>1114</v>
      </c>
      <c r="B12" s="9">
        <v>11</v>
      </c>
      <c r="C12" s="9">
        <v>300</v>
      </c>
      <c r="D12" s="9">
        <v>500</v>
      </c>
      <c r="E12" s="14" t="s">
        <v>1115</v>
      </c>
      <c r="F12" s="15">
        <v>53.45</v>
      </c>
      <c r="G12" s="11">
        <f>(Compact)*53.45</f>
        <v>53.45</v>
      </c>
    </row>
    <row r="13" spans="1:11" x14ac:dyDescent="0.2">
      <c r="A13" s="9" t="s">
        <v>1116</v>
      </c>
      <c r="B13" s="9">
        <v>11</v>
      </c>
      <c r="C13" s="9">
        <v>300</v>
      </c>
      <c r="D13" s="9">
        <v>600</v>
      </c>
      <c r="E13" s="14" t="s">
        <v>1117</v>
      </c>
      <c r="F13" s="15">
        <v>56.37</v>
      </c>
      <c r="G13" s="11">
        <f>(Compact)*56.37</f>
        <v>56.37</v>
      </c>
    </row>
    <row r="14" spans="1:11" x14ac:dyDescent="0.2">
      <c r="A14" s="9" t="s">
        <v>1118</v>
      </c>
      <c r="B14" s="9">
        <v>11</v>
      </c>
      <c r="C14" s="9">
        <v>300</v>
      </c>
      <c r="D14" s="9">
        <v>700</v>
      </c>
      <c r="E14" s="14" t="s">
        <v>1119</v>
      </c>
      <c r="F14" s="15">
        <v>59.08</v>
      </c>
      <c r="G14" s="11">
        <f>(Compact)*59.08</f>
        <v>59.08</v>
      </c>
    </row>
    <row r="15" spans="1:11" x14ac:dyDescent="0.2">
      <c r="A15" s="9" t="s">
        <v>1120</v>
      </c>
      <c r="B15" s="9">
        <v>11</v>
      </c>
      <c r="C15" s="9">
        <v>300</v>
      </c>
      <c r="D15" s="9">
        <v>800</v>
      </c>
      <c r="E15" s="14" t="s">
        <v>1121</v>
      </c>
      <c r="F15" s="15">
        <v>61.53</v>
      </c>
      <c r="G15" s="11">
        <f>(Compact)*61.53</f>
        <v>61.53</v>
      </c>
    </row>
    <row r="16" spans="1:11" x14ac:dyDescent="0.2">
      <c r="A16" s="9" t="s">
        <v>1122</v>
      </c>
      <c r="B16" s="9">
        <v>11</v>
      </c>
      <c r="C16" s="9">
        <v>300</v>
      </c>
      <c r="D16" s="9">
        <v>900</v>
      </c>
      <c r="E16" s="14" t="s">
        <v>1123</v>
      </c>
      <c r="F16" s="15">
        <v>65.33</v>
      </c>
      <c r="G16" s="11">
        <f>(Compact)*65.33</f>
        <v>65.33</v>
      </c>
    </row>
    <row r="17" spans="1:7" x14ac:dyDescent="0.2">
      <c r="A17" s="9" t="s">
        <v>1124</v>
      </c>
      <c r="B17" s="9">
        <v>11</v>
      </c>
      <c r="C17" s="9">
        <v>300</v>
      </c>
      <c r="D17" s="9">
        <v>1000</v>
      </c>
      <c r="E17" s="14" t="s">
        <v>1125</v>
      </c>
      <c r="F17" s="15">
        <v>68.540000000000006</v>
      </c>
      <c r="G17" s="11">
        <f>(Compact)*68.54</f>
        <v>68.540000000000006</v>
      </c>
    </row>
    <row r="18" spans="1:7" x14ac:dyDescent="0.2">
      <c r="A18" s="9" t="s">
        <v>1126</v>
      </c>
      <c r="B18" s="9">
        <v>11</v>
      </c>
      <c r="C18" s="9">
        <v>300</v>
      </c>
      <c r="D18" s="9">
        <v>1100</v>
      </c>
      <c r="E18" s="14" t="s">
        <v>1127</v>
      </c>
      <c r="F18" s="15">
        <v>73.78</v>
      </c>
      <c r="G18" s="11">
        <f>(Compact)*73.78</f>
        <v>73.78</v>
      </c>
    </row>
    <row r="19" spans="1:7" x14ac:dyDescent="0.2">
      <c r="A19" s="9" t="s">
        <v>1128</v>
      </c>
      <c r="B19" s="9">
        <v>11</v>
      </c>
      <c r="C19" s="9">
        <v>300</v>
      </c>
      <c r="D19" s="9">
        <v>1200</v>
      </c>
      <c r="E19" s="14" t="s">
        <v>1129</v>
      </c>
      <c r="F19" s="15">
        <v>77.680000000000007</v>
      </c>
      <c r="G19" s="11">
        <f>(Compact)*77.68</f>
        <v>77.680000000000007</v>
      </c>
    </row>
    <row r="20" spans="1:7" x14ac:dyDescent="0.2">
      <c r="A20" s="9" t="s">
        <v>1130</v>
      </c>
      <c r="B20" s="9">
        <v>11</v>
      </c>
      <c r="C20" s="9">
        <v>300</v>
      </c>
      <c r="D20" s="9">
        <v>1400</v>
      </c>
      <c r="E20" s="14" t="s">
        <v>1131</v>
      </c>
      <c r="F20" s="15">
        <v>92.67</v>
      </c>
      <c r="G20" s="11">
        <f>(Compact)*92.67</f>
        <v>92.67</v>
      </c>
    </row>
    <row r="21" spans="1:7" x14ac:dyDescent="0.2">
      <c r="A21" s="9" t="s">
        <v>1132</v>
      </c>
      <c r="B21" s="9">
        <v>11</v>
      </c>
      <c r="C21" s="9">
        <v>300</v>
      </c>
      <c r="D21" s="9">
        <v>1600</v>
      </c>
      <c r="E21" s="14" t="s">
        <v>1133</v>
      </c>
      <c r="F21" s="15">
        <v>100.47</v>
      </c>
      <c r="G21" s="11">
        <f>(Compact)*100.47</f>
        <v>100.47</v>
      </c>
    </row>
    <row r="22" spans="1:7" x14ac:dyDescent="0.2">
      <c r="A22" s="9" t="s">
        <v>1134</v>
      </c>
      <c r="B22" s="9">
        <v>11</v>
      </c>
      <c r="C22" s="9">
        <v>300</v>
      </c>
      <c r="D22" s="9">
        <v>1800</v>
      </c>
      <c r="E22" s="14" t="s">
        <v>1135</v>
      </c>
      <c r="F22" s="15">
        <v>111.54</v>
      </c>
      <c r="G22" s="11">
        <f>(Compact)*111.54</f>
        <v>111.54</v>
      </c>
    </row>
    <row r="23" spans="1:7" x14ac:dyDescent="0.2">
      <c r="A23" s="9" t="s">
        <v>1136</v>
      </c>
      <c r="B23" s="9">
        <v>11</v>
      </c>
      <c r="C23" s="9">
        <v>300</v>
      </c>
      <c r="D23" s="9">
        <v>2000</v>
      </c>
      <c r="E23" s="14" t="s">
        <v>1137</v>
      </c>
      <c r="F23" s="15">
        <v>119.33</v>
      </c>
      <c r="G23" s="11">
        <f>(Compact)*119.33</f>
        <v>119.33</v>
      </c>
    </row>
    <row r="24" spans="1:7" x14ac:dyDescent="0.2">
      <c r="A24" s="9" t="s">
        <v>1138</v>
      </c>
      <c r="B24" s="9">
        <v>11</v>
      </c>
      <c r="C24" s="9">
        <v>300</v>
      </c>
      <c r="D24" s="9">
        <v>2300</v>
      </c>
      <c r="E24" s="14" t="s">
        <v>1139</v>
      </c>
      <c r="F24" s="15">
        <v>132.59</v>
      </c>
      <c r="G24" s="11">
        <f>(Compact)*132.59</f>
        <v>132.59</v>
      </c>
    </row>
    <row r="25" spans="1:7" x14ac:dyDescent="0.2">
      <c r="A25" s="9" t="s">
        <v>1140</v>
      </c>
      <c r="B25" s="9">
        <v>11</v>
      </c>
      <c r="C25" s="9">
        <v>300</v>
      </c>
      <c r="D25" s="9">
        <v>2600</v>
      </c>
      <c r="E25" s="14" t="s">
        <v>1141</v>
      </c>
      <c r="F25" s="15">
        <v>143.79</v>
      </c>
      <c r="G25" s="11">
        <f>(Compact)*143.79</f>
        <v>143.79</v>
      </c>
    </row>
    <row r="26" spans="1:7" x14ac:dyDescent="0.2">
      <c r="A26" s="9" t="s">
        <v>1142</v>
      </c>
      <c r="B26" s="9">
        <v>11</v>
      </c>
      <c r="C26" s="9">
        <v>300</v>
      </c>
      <c r="D26" s="9">
        <v>3000</v>
      </c>
      <c r="E26" s="14" t="s">
        <v>1143</v>
      </c>
      <c r="F26" s="15">
        <v>164.81</v>
      </c>
      <c r="G26" s="11">
        <f>(Compact)*164.81</f>
        <v>164.81</v>
      </c>
    </row>
    <row r="27" spans="1:7" x14ac:dyDescent="0.2">
      <c r="A27" s="9" t="s">
        <v>1144</v>
      </c>
      <c r="B27" s="9">
        <v>11</v>
      </c>
      <c r="C27" s="9">
        <v>400</v>
      </c>
      <c r="D27" s="9">
        <v>400</v>
      </c>
      <c r="E27" s="14" t="s">
        <v>1145</v>
      </c>
      <c r="F27" s="15">
        <v>54.73</v>
      </c>
      <c r="G27" s="11">
        <f>(Compact)*54.73</f>
        <v>54.73</v>
      </c>
    </row>
    <row r="28" spans="1:7" x14ac:dyDescent="0.2">
      <c r="A28" s="9" t="s">
        <v>1146</v>
      </c>
      <c r="B28" s="9">
        <v>11</v>
      </c>
      <c r="C28" s="9">
        <v>400</v>
      </c>
      <c r="D28" s="9">
        <v>500</v>
      </c>
      <c r="E28" s="14" t="s">
        <v>1147</v>
      </c>
      <c r="F28" s="15">
        <v>57.65</v>
      </c>
      <c r="G28" s="11">
        <f>(Compact)*57.65</f>
        <v>57.65</v>
      </c>
    </row>
    <row r="29" spans="1:7" x14ac:dyDescent="0.2">
      <c r="A29" s="9" t="s">
        <v>1148</v>
      </c>
      <c r="B29" s="9">
        <v>11</v>
      </c>
      <c r="C29" s="9">
        <v>400</v>
      </c>
      <c r="D29" s="9">
        <v>600</v>
      </c>
      <c r="E29" s="14" t="s">
        <v>1149</v>
      </c>
      <c r="F29" s="15">
        <v>61.53</v>
      </c>
      <c r="G29" s="11">
        <f>(Compact)*61.53</f>
        <v>61.53</v>
      </c>
    </row>
    <row r="30" spans="1:7" x14ac:dyDescent="0.2">
      <c r="A30" s="9" t="s">
        <v>1150</v>
      </c>
      <c r="B30" s="9">
        <v>11</v>
      </c>
      <c r="C30" s="9">
        <v>400</v>
      </c>
      <c r="D30" s="9">
        <v>700</v>
      </c>
      <c r="E30" s="14" t="s">
        <v>1151</v>
      </c>
      <c r="F30" s="15">
        <v>65.11</v>
      </c>
      <c r="G30" s="11">
        <f>(Compact)*65.11</f>
        <v>65.11</v>
      </c>
    </row>
    <row r="31" spans="1:7" x14ac:dyDescent="0.2">
      <c r="A31" s="9" t="s">
        <v>1152</v>
      </c>
      <c r="B31" s="9">
        <v>11</v>
      </c>
      <c r="C31" s="9">
        <v>400</v>
      </c>
      <c r="D31" s="9">
        <v>800</v>
      </c>
      <c r="E31" s="14" t="s">
        <v>1153</v>
      </c>
      <c r="F31" s="15">
        <v>68.540000000000006</v>
      </c>
      <c r="G31" s="11">
        <f>(Compact)*68.54</f>
        <v>68.540000000000006</v>
      </c>
    </row>
    <row r="32" spans="1:7" x14ac:dyDescent="0.2">
      <c r="A32" s="9" t="s">
        <v>1154</v>
      </c>
      <c r="B32" s="9">
        <v>11</v>
      </c>
      <c r="C32" s="9">
        <v>400</v>
      </c>
      <c r="D32" s="9">
        <v>900</v>
      </c>
      <c r="E32" s="14" t="s">
        <v>1155</v>
      </c>
      <c r="F32" s="15">
        <v>73.13</v>
      </c>
      <c r="G32" s="11">
        <f>(Compact)*73.13</f>
        <v>73.13</v>
      </c>
    </row>
    <row r="33" spans="1:7" x14ac:dyDescent="0.2">
      <c r="A33" s="9" t="s">
        <v>1156</v>
      </c>
      <c r="B33" s="9">
        <v>11</v>
      </c>
      <c r="C33" s="9">
        <v>400</v>
      </c>
      <c r="D33" s="9">
        <v>1000</v>
      </c>
      <c r="E33" s="14" t="s">
        <v>1157</v>
      </c>
      <c r="F33" s="15">
        <v>76.5</v>
      </c>
      <c r="G33" s="11">
        <f>(Compact)*76.5</f>
        <v>76.5</v>
      </c>
    </row>
    <row r="34" spans="1:7" x14ac:dyDescent="0.2">
      <c r="A34" s="9" t="s">
        <v>1158</v>
      </c>
      <c r="B34" s="9">
        <v>11</v>
      </c>
      <c r="C34" s="9">
        <v>400</v>
      </c>
      <c r="D34" s="9">
        <v>1100</v>
      </c>
      <c r="E34" s="14" t="s">
        <v>1159</v>
      </c>
      <c r="F34" s="15">
        <v>82.74</v>
      </c>
      <c r="G34" s="11">
        <f>(Compact)*82.74</f>
        <v>82.74</v>
      </c>
    </row>
    <row r="35" spans="1:7" x14ac:dyDescent="0.2">
      <c r="A35" s="9" t="s">
        <v>1160</v>
      </c>
      <c r="B35" s="9">
        <v>11</v>
      </c>
      <c r="C35" s="9">
        <v>400</v>
      </c>
      <c r="D35" s="9">
        <v>1200</v>
      </c>
      <c r="E35" s="14" t="s">
        <v>1161</v>
      </c>
      <c r="F35" s="15">
        <v>87.41</v>
      </c>
      <c r="G35" s="11">
        <f>(Compact)*87.41</f>
        <v>87.41</v>
      </c>
    </row>
    <row r="36" spans="1:7" x14ac:dyDescent="0.2">
      <c r="A36" s="9" t="s">
        <v>1162</v>
      </c>
      <c r="B36" s="9">
        <v>11</v>
      </c>
      <c r="C36" s="9">
        <v>400</v>
      </c>
      <c r="D36" s="9">
        <v>1400</v>
      </c>
      <c r="E36" s="14" t="s">
        <v>1163</v>
      </c>
      <c r="F36" s="15">
        <v>104.07</v>
      </c>
      <c r="G36" s="11">
        <f>(Compact)*104.07</f>
        <v>104.07</v>
      </c>
    </row>
    <row r="37" spans="1:7" x14ac:dyDescent="0.2">
      <c r="A37" s="9" t="s">
        <v>1164</v>
      </c>
      <c r="B37" s="9">
        <v>11</v>
      </c>
      <c r="C37" s="9">
        <v>400</v>
      </c>
      <c r="D37" s="9">
        <v>1600</v>
      </c>
      <c r="E37" s="14" t="s">
        <v>1165</v>
      </c>
      <c r="F37" s="15">
        <v>113.01</v>
      </c>
      <c r="G37" s="11">
        <f>(Compact)*113.01</f>
        <v>113.01</v>
      </c>
    </row>
    <row r="38" spans="1:7" x14ac:dyDescent="0.2">
      <c r="A38" s="9" t="s">
        <v>1166</v>
      </c>
      <c r="B38" s="9">
        <v>11</v>
      </c>
      <c r="C38" s="9">
        <v>400</v>
      </c>
      <c r="D38" s="9">
        <v>1800</v>
      </c>
      <c r="E38" s="14" t="s">
        <v>1167</v>
      </c>
      <c r="F38" s="15">
        <v>125.9</v>
      </c>
      <c r="G38" s="11">
        <f>(Compact)*125.9</f>
        <v>125.9</v>
      </c>
    </row>
    <row r="39" spans="1:7" x14ac:dyDescent="0.2">
      <c r="A39" s="9" t="s">
        <v>1168</v>
      </c>
      <c r="B39" s="9">
        <v>11</v>
      </c>
      <c r="C39" s="9">
        <v>400</v>
      </c>
      <c r="D39" s="9">
        <v>2000</v>
      </c>
      <c r="E39" s="14" t="s">
        <v>1169</v>
      </c>
      <c r="F39" s="15">
        <v>134.85</v>
      </c>
      <c r="G39" s="11">
        <f>(Compact)*134.85</f>
        <v>134.85</v>
      </c>
    </row>
    <row r="40" spans="1:7" x14ac:dyDescent="0.2">
      <c r="A40" s="9" t="s">
        <v>1170</v>
      </c>
      <c r="B40" s="9">
        <v>11</v>
      </c>
      <c r="C40" s="9">
        <v>400</v>
      </c>
      <c r="D40" s="9">
        <v>2300</v>
      </c>
      <c r="E40" s="14" t="s">
        <v>1171</v>
      </c>
      <c r="F40" s="15">
        <v>150.5</v>
      </c>
      <c r="G40" s="11">
        <f>(Compact)*150.5</f>
        <v>150.5</v>
      </c>
    </row>
    <row r="41" spans="1:7" x14ac:dyDescent="0.2">
      <c r="A41" s="9" t="s">
        <v>1172</v>
      </c>
      <c r="B41" s="9">
        <v>11</v>
      </c>
      <c r="C41" s="9">
        <v>400</v>
      </c>
      <c r="D41" s="9">
        <v>2600</v>
      </c>
      <c r="E41" s="14" t="s">
        <v>1173</v>
      </c>
      <c r="F41" s="15">
        <v>166.27</v>
      </c>
      <c r="G41" s="11">
        <f>(Compact)*166.27</f>
        <v>166.27</v>
      </c>
    </row>
    <row r="42" spans="1:7" x14ac:dyDescent="0.2">
      <c r="A42" s="9" t="s">
        <v>1174</v>
      </c>
      <c r="B42" s="9">
        <v>11</v>
      </c>
      <c r="C42" s="9">
        <v>400</v>
      </c>
      <c r="D42" s="9">
        <v>3000</v>
      </c>
      <c r="E42" s="14" t="s">
        <v>1175</v>
      </c>
      <c r="F42" s="15">
        <v>188.09</v>
      </c>
      <c r="G42" s="11">
        <f>(Compact)*188.09</f>
        <v>188.09</v>
      </c>
    </row>
    <row r="43" spans="1:7" x14ac:dyDescent="0.2">
      <c r="A43" s="9" t="s">
        <v>1176</v>
      </c>
      <c r="B43" s="9">
        <v>11</v>
      </c>
      <c r="C43" s="9">
        <v>450</v>
      </c>
      <c r="D43" s="9">
        <v>400</v>
      </c>
      <c r="E43" s="14" t="s">
        <v>1177</v>
      </c>
      <c r="F43" s="15">
        <v>56.66</v>
      </c>
      <c r="G43" s="11">
        <f>(Compact)*56.66</f>
        <v>56.66</v>
      </c>
    </row>
    <row r="44" spans="1:7" x14ac:dyDescent="0.2">
      <c r="A44" s="9" t="s">
        <v>1178</v>
      </c>
      <c r="B44" s="9">
        <v>11</v>
      </c>
      <c r="C44" s="9">
        <v>450</v>
      </c>
      <c r="D44" s="9">
        <v>500</v>
      </c>
      <c r="E44" s="14" t="s">
        <v>1179</v>
      </c>
      <c r="F44" s="15">
        <v>60.55</v>
      </c>
      <c r="G44" s="11">
        <f>(Compact)*60.55</f>
        <v>60.55</v>
      </c>
    </row>
    <row r="45" spans="1:7" x14ac:dyDescent="0.2">
      <c r="A45" s="9" t="s">
        <v>1180</v>
      </c>
      <c r="B45" s="9">
        <v>11</v>
      </c>
      <c r="C45" s="9">
        <v>450</v>
      </c>
      <c r="D45" s="9">
        <v>600</v>
      </c>
      <c r="E45" s="14" t="s">
        <v>1181</v>
      </c>
      <c r="F45" s="15">
        <v>64.66</v>
      </c>
      <c r="G45" s="11">
        <f>(Compact)*64.66</f>
        <v>64.66</v>
      </c>
    </row>
    <row r="46" spans="1:7" x14ac:dyDescent="0.2">
      <c r="A46" s="9" t="s">
        <v>1182</v>
      </c>
      <c r="B46" s="9">
        <v>11</v>
      </c>
      <c r="C46" s="9">
        <v>450</v>
      </c>
      <c r="D46" s="9">
        <v>700</v>
      </c>
      <c r="E46" s="14" t="s">
        <v>1183</v>
      </c>
      <c r="F46" s="15">
        <v>68.709999999999994</v>
      </c>
      <c r="G46" s="11">
        <f>(Compact)*68.71</f>
        <v>68.709999999999994</v>
      </c>
    </row>
    <row r="47" spans="1:7" x14ac:dyDescent="0.2">
      <c r="A47" s="9" t="s">
        <v>1184</v>
      </c>
      <c r="B47" s="9">
        <v>11</v>
      </c>
      <c r="C47" s="9">
        <v>450</v>
      </c>
      <c r="D47" s="9">
        <v>800</v>
      </c>
      <c r="E47" s="14" t="s">
        <v>1185</v>
      </c>
      <c r="F47" s="15">
        <v>72.62</v>
      </c>
      <c r="G47" s="11">
        <f>(Compact)*72.62</f>
        <v>72.62</v>
      </c>
    </row>
    <row r="48" spans="1:7" x14ac:dyDescent="0.2">
      <c r="A48" s="9" t="s">
        <v>1186</v>
      </c>
      <c r="B48" s="9">
        <v>11</v>
      </c>
      <c r="C48" s="9">
        <v>450</v>
      </c>
      <c r="D48" s="9">
        <v>900</v>
      </c>
      <c r="E48" s="14" t="s">
        <v>1187</v>
      </c>
      <c r="F48" s="15">
        <v>77.48</v>
      </c>
      <c r="G48" s="11">
        <f>(Compact)*77.48</f>
        <v>77.48</v>
      </c>
    </row>
    <row r="49" spans="1:7" x14ac:dyDescent="0.2">
      <c r="A49" s="9" t="s">
        <v>1188</v>
      </c>
      <c r="B49" s="9">
        <v>11</v>
      </c>
      <c r="C49" s="9">
        <v>450</v>
      </c>
      <c r="D49" s="9">
        <v>1000</v>
      </c>
      <c r="E49" s="14" t="s">
        <v>1189</v>
      </c>
      <c r="F49" s="15">
        <v>81.569999999999993</v>
      </c>
      <c r="G49" s="11">
        <f>(Compact)*81.57</f>
        <v>81.569999999999993</v>
      </c>
    </row>
    <row r="50" spans="1:7" x14ac:dyDescent="0.2">
      <c r="A50" s="9" t="s">
        <v>1190</v>
      </c>
      <c r="B50" s="9">
        <v>11</v>
      </c>
      <c r="C50" s="9">
        <v>450</v>
      </c>
      <c r="D50" s="9">
        <v>1100</v>
      </c>
      <c r="E50" s="14" t="s">
        <v>1191</v>
      </c>
      <c r="F50" s="15">
        <v>87.92</v>
      </c>
      <c r="G50" s="11">
        <f>(Compact)*87.92</f>
        <v>87.92</v>
      </c>
    </row>
    <row r="51" spans="1:7" x14ac:dyDescent="0.2">
      <c r="A51" s="9" t="s">
        <v>1192</v>
      </c>
      <c r="B51" s="9">
        <v>11</v>
      </c>
      <c r="C51" s="9">
        <v>450</v>
      </c>
      <c r="D51" s="9">
        <v>1200</v>
      </c>
      <c r="E51" s="14" t="s">
        <v>1193</v>
      </c>
      <c r="F51" s="15">
        <v>92.67</v>
      </c>
      <c r="G51" s="11">
        <f>(Compact)*92.67</f>
        <v>92.67</v>
      </c>
    </row>
    <row r="52" spans="1:7" x14ac:dyDescent="0.2">
      <c r="A52" s="9" t="s">
        <v>1194</v>
      </c>
      <c r="B52" s="9">
        <v>11</v>
      </c>
      <c r="C52" s="9">
        <v>450</v>
      </c>
      <c r="D52" s="9">
        <v>1400</v>
      </c>
      <c r="E52" s="14" t="s">
        <v>1195</v>
      </c>
      <c r="F52" s="15">
        <v>110.59</v>
      </c>
      <c r="G52" s="11">
        <f>(Compact)*110.59</f>
        <v>110.59</v>
      </c>
    </row>
    <row r="53" spans="1:7" x14ac:dyDescent="0.2">
      <c r="A53" s="9" t="s">
        <v>1196</v>
      </c>
      <c r="B53" s="9">
        <v>11</v>
      </c>
      <c r="C53" s="9">
        <v>450</v>
      </c>
      <c r="D53" s="9">
        <v>1600</v>
      </c>
      <c r="E53" s="14" t="s">
        <v>1197</v>
      </c>
      <c r="F53" s="15">
        <v>120.32</v>
      </c>
      <c r="G53" s="11">
        <f>(Compact)*120.32</f>
        <v>120.32</v>
      </c>
    </row>
    <row r="54" spans="1:7" x14ac:dyDescent="0.2">
      <c r="A54" s="9" t="s">
        <v>1198</v>
      </c>
      <c r="B54" s="9">
        <v>11</v>
      </c>
      <c r="C54" s="9">
        <v>450</v>
      </c>
      <c r="D54" s="9">
        <v>1800</v>
      </c>
      <c r="E54" s="14" t="s">
        <v>1199</v>
      </c>
      <c r="F54" s="15">
        <v>134.33000000000001</v>
      </c>
      <c r="G54" s="11">
        <f>(Compact)*134.33</f>
        <v>134.33000000000001</v>
      </c>
    </row>
    <row r="55" spans="1:7" x14ac:dyDescent="0.2">
      <c r="A55" s="9" t="s">
        <v>1200</v>
      </c>
      <c r="B55" s="9">
        <v>11</v>
      </c>
      <c r="C55" s="9">
        <v>450</v>
      </c>
      <c r="D55" s="9">
        <v>2000</v>
      </c>
      <c r="E55" s="14" t="s">
        <v>1201</v>
      </c>
      <c r="F55" s="15">
        <v>143.97999999999999</v>
      </c>
      <c r="G55" s="11">
        <f>(Compact)*143.98</f>
        <v>143.97999999999999</v>
      </c>
    </row>
    <row r="56" spans="1:7" x14ac:dyDescent="0.2">
      <c r="A56" s="9" t="s">
        <v>1202</v>
      </c>
      <c r="B56" s="9">
        <v>11</v>
      </c>
      <c r="C56" s="9">
        <v>450</v>
      </c>
      <c r="D56" s="9">
        <v>2300</v>
      </c>
      <c r="E56" s="14" t="s">
        <v>1203</v>
      </c>
      <c r="F56" s="15">
        <v>160.93</v>
      </c>
      <c r="G56" s="11">
        <f>(Compact)*160.93</f>
        <v>160.93</v>
      </c>
    </row>
    <row r="57" spans="1:7" x14ac:dyDescent="0.2">
      <c r="A57" s="9" t="s">
        <v>1204</v>
      </c>
      <c r="B57" s="9">
        <v>11</v>
      </c>
      <c r="C57" s="9">
        <v>450</v>
      </c>
      <c r="D57" s="9">
        <v>2600</v>
      </c>
      <c r="E57" s="14" t="s">
        <v>1205</v>
      </c>
      <c r="F57" s="15">
        <v>177.68</v>
      </c>
      <c r="G57" s="11">
        <f>(Compact)*177.68</f>
        <v>177.68</v>
      </c>
    </row>
    <row r="58" spans="1:7" x14ac:dyDescent="0.2">
      <c r="A58" s="9" t="s">
        <v>1206</v>
      </c>
      <c r="B58" s="9">
        <v>11</v>
      </c>
      <c r="C58" s="9">
        <v>450</v>
      </c>
      <c r="D58" s="9">
        <v>3000</v>
      </c>
      <c r="E58" s="14" t="s">
        <v>1207</v>
      </c>
      <c r="F58" s="15">
        <v>201.4</v>
      </c>
      <c r="G58" s="11">
        <f>(Compact)*201.4</f>
        <v>201.4</v>
      </c>
    </row>
    <row r="59" spans="1:7" x14ac:dyDescent="0.2">
      <c r="A59" s="9" t="s">
        <v>1208</v>
      </c>
      <c r="B59" s="9">
        <v>11</v>
      </c>
      <c r="C59" s="9">
        <v>500</v>
      </c>
      <c r="D59" s="9">
        <v>400</v>
      </c>
      <c r="E59" s="14" t="s">
        <v>1209</v>
      </c>
      <c r="F59" s="15">
        <v>55.18</v>
      </c>
      <c r="G59" s="11">
        <f>(Compact)*55.18</f>
        <v>55.18</v>
      </c>
    </row>
    <row r="60" spans="1:7" x14ac:dyDescent="0.2">
      <c r="A60" s="9" t="s">
        <v>1210</v>
      </c>
      <c r="B60" s="9">
        <v>11</v>
      </c>
      <c r="C60" s="9">
        <v>500</v>
      </c>
      <c r="D60" s="9">
        <v>500</v>
      </c>
      <c r="E60" s="14" t="s">
        <v>1211</v>
      </c>
      <c r="F60" s="15">
        <v>59.79</v>
      </c>
      <c r="G60" s="11">
        <f>(Compact)*59.79</f>
        <v>59.79</v>
      </c>
    </row>
    <row r="61" spans="1:7" x14ac:dyDescent="0.2">
      <c r="A61" s="9" t="s">
        <v>1212</v>
      </c>
      <c r="B61" s="9">
        <v>11</v>
      </c>
      <c r="C61" s="9">
        <v>500</v>
      </c>
      <c r="D61" s="9">
        <v>600</v>
      </c>
      <c r="E61" s="14" t="s">
        <v>1213</v>
      </c>
      <c r="F61" s="15">
        <v>64.84</v>
      </c>
      <c r="G61" s="11">
        <f>(Compact)*64.84</f>
        <v>64.84</v>
      </c>
    </row>
    <row r="62" spans="1:7" x14ac:dyDescent="0.2">
      <c r="A62" s="9" t="s">
        <v>1214</v>
      </c>
      <c r="B62" s="9">
        <v>11</v>
      </c>
      <c r="C62" s="9">
        <v>500</v>
      </c>
      <c r="D62" s="9">
        <v>700</v>
      </c>
      <c r="E62" s="14" t="s">
        <v>1215</v>
      </c>
      <c r="F62" s="15">
        <v>70.180000000000007</v>
      </c>
      <c r="G62" s="11">
        <f>(Compact)*70.18</f>
        <v>70.180000000000007</v>
      </c>
    </row>
    <row r="63" spans="1:7" x14ac:dyDescent="0.2">
      <c r="A63" s="9" t="s">
        <v>1216</v>
      </c>
      <c r="B63" s="9">
        <v>11</v>
      </c>
      <c r="C63" s="9">
        <v>500</v>
      </c>
      <c r="D63" s="9">
        <v>800</v>
      </c>
      <c r="E63" s="14" t="s">
        <v>1217</v>
      </c>
      <c r="F63" s="15">
        <v>74.290000000000006</v>
      </c>
      <c r="G63" s="11">
        <f>(Compact)*74.29</f>
        <v>74.290000000000006</v>
      </c>
    </row>
    <row r="64" spans="1:7" x14ac:dyDescent="0.2">
      <c r="A64" s="9" t="s">
        <v>1218</v>
      </c>
      <c r="B64" s="9">
        <v>11</v>
      </c>
      <c r="C64" s="9">
        <v>500</v>
      </c>
      <c r="D64" s="9">
        <v>900</v>
      </c>
      <c r="E64" s="14" t="s">
        <v>1219</v>
      </c>
      <c r="F64" s="15">
        <v>79.819999999999993</v>
      </c>
      <c r="G64" s="11">
        <f>(Compact)*79.82</f>
        <v>79.819999999999993</v>
      </c>
    </row>
    <row r="65" spans="1:7" x14ac:dyDescent="0.2">
      <c r="A65" s="9" t="s">
        <v>1220</v>
      </c>
      <c r="B65" s="9">
        <v>11</v>
      </c>
      <c r="C65" s="9">
        <v>500</v>
      </c>
      <c r="D65" s="9">
        <v>1000</v>
      </c>
      <c r="E65" s="14" t="s">
        <v>1221</v>
      </c>
      <c r="F65" s="15">
        <v>85.67</v>
      </c>
      <c r="G65" s="11">
        <f>(Compact)*85.67</f>
        <v>85.67</v>
      </c>
    </row>
    <row r="66" spans="1:7" x14ac:dyDescent="0.2">
      <c r="A66" s="9" t="s">
        <v>1222</v>
      </c>
      <c r="B66" s="9">
        <v>11</v>
      </c>
      <c r="C66" s="9">
        <v>500</v>
      </c>
      <c r="D66" s="9">
        <v>1100</v>
      </c>
      <c r="E66" s="14" t="s">
        <v>1223</v>
      </c>
      <c r="F66" s="15">
        <v>91.73</v>
      </c>
      <c r="G66" s="11">
        <f>(Compact)*91.73</f>
        <v>91.73</v>
      </c>
    </row>
    <row r="67" spans="1:7" x14ac:dyDescent="0.2">
      <c r="A67" s="9" t="s">
        <v>1224</v>
      </c>
      <c r="B67" s="9">
        <v>11</v>
      </c>
      <c r="C67" s="9">
        <v>500</v>
      </c>
      <c r="D67" s="9">
        <v>1200</v>
      </c>
      <c r="E67" s="14" t="s">
        <v>1225</v>
      </c>
      <c r="F67" s="15">
        <v>97.56</v>
      </c>
      <c r="G67" s="11">
        <f>(Compact)*97.56</f>
        <v>97.56</v>
      </c>
    </row>
    <row r="68" spans="1:7" x14ac:dyDescent="0.2">
      <c r="A68" s="9" t="s">
        <v>1226</v>
      </c>
      <c r="B68" s="9">
        <v>11</v>
      </c>
      <c r="C68" s="9">
        <v>500</v>
      </c>
      <c r="D68" s="9">
        <v>1400</v>
      </c>
      <c r="E68" s="14" t="s">
        <v>1227</v>
      </c>
      <c r="F68" s="15">
        <v>109.41</v>
      </c>
      <c r="G68" s="11">
        <f>(Compact)*109.41</f>
        <v>109.41</v>
      </c>
    </row>
    <row r="69" spans="1:7" x14ac:dyDescent="0.2">
      <c r="A69" s="9" t="s">
        <v>1228</v>
      </c>
      <c r="B69" s="9">
        <v>11</v>
      </c>
      <c r="C69" s="9">
        <v>500</v>
      </c>
      <c r="D69" s="9">
        <v>1600</v>
      </c>
      <c r="E69" s="14" t="s">
        <v>1229</v>
      </c>
      <c r="F69" s="15">
        <v>121.49</v>
      </c>
      <c r="G69" s="11">
        <f>(Compact)*121.49</f>
        <v>121.49</v>
      </c>
    </row>
    <row r="70" spans="1:7" x14ac:dyDescent="0.2">
      <c r="A70" s="9" t="s">
        <v>1230</v>
      </c>
      <c r="B70" s="9">
        <v>11</v>
      </c>
      <c r="C70" s="9">
        <v>500</v>
      </c>
      <c r="D70" s="9">
        <v>1800</v>
      </c>
      <c r="E70" s="14" t="s">
        <v>1231</v>
      </c>
      <c r="F70" s="15">
        <v>133.37</v>
      </c>
      <c r="G70" s="11">
        <f>(Compact)*133.37</f>
        <v>133.37</v>
      </c>
    </row>
    <row r="71" spans="1:7" x14ac:dyDescent="0.2">
      <c r="A71" s="9" t="s">
        <v>1232</v>
      </c>
      <c r="B71" s="9">
        <v>11</v>
      </c>
      <c r="C71" s="9">
        <v>500</v>
      </c>
      <c r="D71" s="9">
        <v>2000</v>
      </c>
      <c r="E71" s="14" t="s">
        <v>1233</v>
      </c>
      <c r="F71" s="15">
        <v>145.94</v>
      </c>
      <c r="G71" s="11">
        <f>(Compact)*145.94</f>
        <v>145.94</v>
      </c>
    </row>
    <row r="72" spans="1:7" x14ac:dyDescent="0.2">
      <c r="A72" s="9" t="s">
        <v>1234</v>
      </c>
      <c r="B72" s="9">
        <v>11</v>
      </c>
      <c r="C72" s="9">
        <v>500</v>
      </c>
      <c r="D72" s="9">
        <v>2300</v>
      </c>
      <c r="E72" s="14" t="s">
        <v>1235</v>
      </c>
      <c r="F72" s="15">
        <v>163.63999999999999</v>
      </c>
      <c r="G72" s="11">
        <f>(Compact)*163.64</f>
        <v>163.63999999999999</v>
      </c>
    </row>
    <row r="73" spans="1:7" x14ac:dyDescent="0.2">
      <c r="A73" s="9" t="s">
        <v>1236</v>
      </c>
      <c r="B73" s="9">
        <v>11</v>
      </c>
      <c r="C73" s="9">
        <v>500</v>
      </c>
      <c r="D73" s="9">
        <v>2600</v>
      </c>
      <c r="E73" s="14" t="s">
        <v>1237</v>
      </c>
      <c r="F73" s="15">
        <v>182.27</v>
      </c>
      <c r="G73" s="11">
        <f>(Compact)*182.27</f>
        <v>182.27</v>
      </c>
    </row>
    <row r="74" spans="1:7" x14ac:dyDescent="0.2">
      <c r="A74" s="9" t="s">
        <v>1238</v>
      </c>
      <c r="B74" s="9">
        <v>11</v>
      </c>
      <c r="C74" s="9">
        <v>500</v>
      </c>
      <c r="D74" s="9">
        <v>3000</v>
      </c>
      <c r="E74" s="14" t="s">
        <v>1239</v>
      </c>
      <c r="F74" s="15">
        <v>206.48</v>
      </c>
      <c r="G74" s="11">
        <f>(Compact)*206.48</f>
        <v>206.48</v>
      </c>
    </row>
    <row r="75" spans="1:7" x14ac:dyDescent="0.2">
      <c r="A75" s="9" t="s">
        <v>1240</v>
      </c>
      <c r="B75" s="9">
        <v>11</v>
      </c>
      <c r="C75" s="9">
        <v>550</v>
      </c>
      <c r="D75" s="9">
        <v>400</v>
      </c>
      <c r="E75" s="14" t="s">
        <v>1241</v>
      </c>
      <c r="F75" s="15">
        <v>60.2</v>
      </c>
      <c r="G75" s="11">
        <f>(Compact)*60.2</f>
        <v>60.2</v>
      </c>
    </row>
    <row r="76" spans="1:7" x14ac:dyDescent="0.2">
      <c r="A76" s="9" t="s">
        <v>1242</v>
      </c>
      <c r="B76" s="9">
        <v>11</v>
      </c>
      <c r="C76" s="9">
        <v>550</v>
      </c>
      <c r="D76" s="9">
        <v>500</v>
      </c>
      <c r="E76" s="14" t="s">
        <v>1243</v>
      </c>
      <c r="F76" s="15">
        <v>63.46</v>
      </c>
      <c r="G76" s="11">
        <f>(Compact)*63.46</f>
        <v>63.46</v>
      </c>
    </row>
    <row r="77" spans="1:7" x14ac:dyDescent="0.2">
      <c r="A77" s="9" t="s">
        <v>1244</v>
      </c>
      <c r="B77" s="9">
        <v>11</v>
      </c>
      <c r="C77" s="9">
        <v>550</v>
      </c>
      <c r="D77" s="9">
        <v>600</v>
      </c>
      <c r="E77" s="14" t="s">
        <v>1245</v>
      </c>
      <c r="F77" s="15">
        <v>68.569999999999993</v>
      </c>
      <c r="G77" s="11">
        <f>(Compact)*68.57</f>
        <v>68.569999999999993</v>
      </c>
    </row>
    <row r="78" spans="1:7" x14ac:dyDescent="0.2">
      <c r="A78" s="9" t="s">
        <v>1246</v>
      </c>
      <c r="B78" s="9">
        <v>11</v>
      </c>
      <c r="C78" s="9">
        <v>550</v>
      </c>
      <c r="D78" s="9">
        <v>700</v>
      </c>
      <c r="E78" s="14" t="s">
        <v>1247</v>
      </c>
      <c r="F78" s="15">
        <v>73.84</v>
      </c>
      <c r="G78" s="11">
        <f>(Compact)*73.84</f>
        <v>73.84</v>
      </c>
    </row>
    <row r="79" spans="1:7" x14ac:dyDescent="0.2">
      <c r="A79" s="9" t="s">
        <v>1248</v>
      </c>
      <c r="B79" s="9">
        <v>11</v>
      </c>
      <c r="C79" s="9">
        <v>550</v>
      </c>
      <c r="D79" s="9">
        <v>800</v>
      </c>
      <c r="E79" s="14" t="s">
        <v>1249</v>
      </c>
      <c r="F79" s="15">
        <v>78.34</v>
      </c>
      <c r="G79" s="11">
        <f>(Compact)*78.34</f>
        <v>78.34</v>
      </c>
    </row>
    <row r="80" spans="1:7" x14ac:dyDescent="0.2">
      <c r="A80" s="9" t="s">
        <v>1250</v>
      </c>
      <c r="B80" s="9">
        <v>11</v>
      </c>
      <c r="C80" s="9">
        <v>550</v>
      </c>
      <c r="D80" s="9">
        <v>900</v>
      </c>
      <c r="E80" s="14" t="s">
        <v>1251</v>
      </c>
      <c r="F80" s="15">
        <v>83.64</v>
      </c>
      <c r="G80" s="11">
        <f>(Compact)*83.64</f>
        <v>83.64</v>
      </c>
    </row>
    <row r="81" spans="1:7" x14ac:dyDescent="0.2">
      <c r="A81" s="9" t="s">
        <v>1252</v>
      </c>
      <c r="B81" s="9">
        <v>11</v>
      </c>
      <c r="C81" s="9">
        <v>550</v>
      </c>
      <c r="D81" s="9">
        <v>1000</v>
      </c>
      <c r="E81" s="14" t="s">
        <v>1253</v>
      </c>
      <c r="F81" s="15">
        <v>89.32</v>
      </c>
      <c r="G81" s="11">
        <f>(Compact)*89.32</f>
        <v>89.32</v>
      </c>
    </row>
    <row r="82" spans="1:7" x14ac:dyDescent="0.2">
      <c r="A82" s="9" t="s">
        <v>1254</v>
      </c>
      <c r="B82" s="9">
        <v>11</v>
      </c>
      <c r="C82" s="9">
        <v>550</v>
      </c>
      <c r="D82" s="9">
        <v>1100</v>
      </c>
      <c r="E82" s="14" t="s">
        <v>1255</v>
      </c>
      <c r="F82" s="15">
        <v>95.43</v>
      </c>
      <c r="G82" s="11">
        <f>(Compact)*95.43</f>
        <v>95.43</v>
      </c>
    </row>
    <row r="83" spans="1:7" x14ac:dyDescent="0.2">
      <c r="A83" s="9" t="s">
        <v>1256</v>
      </c>
      <c r="B83" s="9">
        <v>11</v>
      </c>
      <c r="C83" s="9">
        <v>550</v>
      </c>
      <c r="D83" s="9">
        <v>1200</v>
      </c>
      <c r="E83" s="14" t="s">
        <v>1257</v>
      </c>
      <c r="F83" s="15">
        <v>101.8</v>
      </c>
      <c r="G83" s="11">
        <f>(Compact)*101.8</f>
        <v>101.8</v>
      </c>
    </row>
    <row r="84" spans="1:7" x14ac:dyDescent="0.2">
      <c r="A84" s="9" t="s">
        <v>1258</v>
      </c>
      <c r="B84" s="9">
        <v>11</v>
      </c>
      <c r="C84" s="9">
        <v>550</v>
      </c>
      <c r="D84" s="9">
        <v>1400</v>
      </c>
      <c r="E84" s="14" t="s">
        <v>1259</v>
      </c>
      <c r="F84" s="15">
        <v>114.35</v>
      </c>
      <c r="G84" s="11">
        <f>(Compact)*114.35</f>
        <v>114.35</v>
      </c>
    </row>
    <row r="85" spans="1:7" x14ac:dyDescent="0.2">
      <c r="A85" s="9" t="s">
        <v>1260</v>
      </c>
      <c r="B85" s="9">
        <v>11</v>
      </c>
      <c r="C85" s="9">
        <v>550</v>
      </c>
      <c r="D85" s="9">
        <v>1600</v>
      </c>
      <c r="E85" s="14" t="s">
        <v>1261</v>
      </c>
      <c r="F85" s="15">
        <v>128.63999999999999</v>
      </c>
      <c r="G85" s="11">
        <f>(Compact)*128.64</f>
        <v>128.63999999999999</v>
      </c>
    </row>
    <row r="86" spans="1:7" x14ac:dyDescent="0.2">
      <c r="A86" s="9" t="s">
        <v>1262</v>
      </c>
      <c r="B86" s="9">
        <v>11</v>
      </c>
      <c r="C86" s="9">
        <v>550</v>
      </c>
      <c r="D86" s="9">
        <v>1800</v>
      </c>
      <c r="E86" s="14" t="s">
        <v>1263</v>
      </c>
      <c r="F86" s="15">
        <v>142.81</v>
      </c>
      <c r="G86" s="11">
        <f>(Compact)*142.81</f>
        <v>142.81</v>
      </c>
    </row>
    <row r="87" spans="1:7" x14ac:dyDescent="0.2">
      <c r="A87" s="9" t="s">
        <v>1264</v>
      </c>
      <c r="B87" s="9">
        <v>11</v>
      </c>
      <c r="C87" s="9">
        <v>550</v>
      </c>
      <c r="D87" s="9">
        <v>2000</v>
      </c>
      <c r="E87" s="14" t="s">
        <v>1265</v>
      </c>
      <c r="F87" s="15">
        <v>154.88</v>
      </c>
      <c r="G87" s="11">
        <f>(Compact)*154.88</f>
        <v>154.88</v>
      </c>
    </row>
    <row r="88" spans="1:7" x14ac:dyDescent="0.2">
      <c r="A88" s="9" t="s">
        <v>1266</v>
      </c>
      <c r="B88" s="9">
        <v>11</v>
      </c>
      <c r="C88" s="9">
        <v>550</v>
      </c>
      <c r="D88" s="9">
        <v>2300</v>
      </c>
      <c r="E88" s="14" t="s">
        <v>1267</v>
      </c>
      <c r="F88" s="15">
        <v>174.1</v>
      </c>
      <c r="G88" s="11">
        <f>(Compact)*174.1</f>
        <v>174.1</v>
      </c>
    </row>
    <row r="89" spans="1:7" x14ac:dyDescent="0.2">
      <c r="A89" s="9" t="s">
        <v>1268</v>
      </c>
      <c r="B89" s="9">
        <v>11</v>
      </c>
      <c r="C89" s="9">
        <v>550</v>
      </c>
      <c r="D89" s="9">
        <v>2600</v>
      </c>
      <c r="E89" s="14" t="s">
        <v>1269</v>
      </c>
      <c r="F89" s="15">
        <v>195.38</v>
      </c>
      <c r="G89" s="11">
        <f>(Compact)*195.38</f>
        <v>195.38</v>
      </c>
    </row>
    <row r="90" spans="1:7" x14ac:dyDescent="0.2">
      <c r="A90" s="9" t="s">
        <v>1270</v>
      </c>
      <c r="B90" s="9">
        <v>11</v>
      </c>
      <c r="C90" s="9">
        <v>550</v>
      </c>
      <c r="D90" s="9">
        <v>3000</v>
      </c>
      <c r="E90" s="14" t="s">
        <v>1271</v>
      </c>
      <c r="F90" s="15">
        <v>219.62</v>
      </c>
      <c r="G90" s="11">
        <f>(Compact)*219.62</f>
        <v>219.62</v>
      </c>
    </row>
    <row r="91" spans="1:7" x14ac:dyDescent="0.2">
      <c r="A91" s="9" t="s">
        <v>1272</v>
      </c>
      <c r="B91" s="9">
        <v>11</v>
      </c>
      <c r="C91" s="9">
        <v>600</v>
      </c>
      <c r="D91" s="9">
        <v>400</v>
      </c>
      <c r="E91" s="14" t="s">
        <v>1273</v>
      </c>
      <c r="F91" s="15">
        <v>64.66</v>
      </c>
      <c r="G91" s="11">
        <f>(Compact)*64.66</f>
        <v>64.66</v>
      </c>
    </row>
    <row r="92" spans="1:7" x14ac:dyDescent="0.2">
      <c r="A92" s="9" t="s">
        <v>1274</v>
      </c>
      <c r="B92" s="9">
        <v>11</v>
      </c>
      <c r="C92" s="9">
        <v>600</v>
      </c>
      <c r="D92" s="9">
        <v>500</v>
      </c>
      <c r="E92" s="14" t="s">
        <v>1275</v>
      </c>
      <c r="F92" s="15">
        <v>66.31</v>
      </c>
      <c r="G92" s="11">
        <f>(Compact)*66.31</f>
        <v>66.31</v>
      </c>
    </row>
    <row r="93" spans="1:7" x14ac:dyDescent="0.2">
      <c r="A93" s="9" t="s">
        <v>1276</v>
      </c>
      <c r="B93" s="9">
        <v>11</v>
      </c>
      <c r="C93" s="9">
        <v>600</v>
      </c>
      <c r="D93" s="9">
        <v>600</v>
      </c>
      <c r="E93" s="14" t="s">
        <v>1277</v>
      </c>
      <c r="F93" s="15">
        <v>71.37</v>
      </c>
      <c r="G93" s="11">
        <f>(Compact)*71.37</f>
        <v>71.37</v>
      </c>
    </row>
    <row r="94" spans="1:7" x14ac:dyDescent="0.2">
      <c r="A94" s="9" t="s">
        <v>1278</v>
      </c>
      <c r="B94" s="9">
        <v>11</v>
      </c>
      <c r="C94" s="9">
        <v>600</v>
      </c>
      <c r="D94" s="9">
        <v>700</v>
      </c>
      <c r="E94" s="14" t="s">
        <v>1279</v>
      </c>
      <c r="F94" s="15">
        <v>76.5</v>
      </c>
      <c r="G94" s="11">
        <f>(Compact)*76.5</f>
        <v>76.5</v>
      </c>
    </row>
    <row r="95" spans="1:7" x14ac:dyDescent="0.2">
      <c r="A95" s="9" t="s">
        <v>1280</v>
      </c>
      <c r="B95" s="9">
        <v>11</v>
      </c>
      <c r="C95" s="9">
        <v>600</v>
      </c>
      <c r="D95" s="9">
        <v>800</v>
      </c>
      <c r="E95" s="14" t="s">
        <v>1281</v>
      </c>
      <c r="F95" s="15">
        <v>81.569999999999993</v>
      </c>
      <c r="G95" s="11">
        <f>(Compact)*81.57</f>
        <v>81.569999999999993</v>
      </c>
    </row>
    <row r="96" spans="1:7" x14ac:dyDescent="0.2">
      <c r="A96" s="9" t="s">
        <v>1282</v>
      </c>
      <c r="B96" s="9">
        <v>11</v>
      </c>
      <c r="C96" s="9">
        <v>600</v>
      </c>
      <c r="D96" s="9">
        <v>900</v>
      </c>
      <c r="E96" s="14" t="s">
        <v>1283</v>
      </c>
      <c r="F96" s="15">
        <v>86.45</v>
      </c>
      <c r="G96" s="11">
        <f>(Compact)*86.45</f>
        <v>86.45</v>
      </c>
    </row>
    <row r="97" spans="1:7" x14ac:dyDescent="0.2">
      <c r="A97" s="9" t="s">
        <v>1284</v>
      </c>
      <c r="B97" s="9">
        <v>11</v>
      </c>
      <c r="C97" s="9">
        <v>600</v>
      </c>
      <c r="D97" s="9">
        <v>1000</v>
      </c>
      <c r="E97" s="14" t="s">
        <v>1285</v>
      </c>
      <c r="F97" s="15">
        <v>92</v>
      </c>
      <c r="G97" s="11">
        <f>(Compact)*92</f>
        <v>92</v>
      </c>
    </row>
    <row r="98" spans="1:7" x14ac:dyDescent="0.2">
      <c r="A98" s="9" t="s">
        <v>1286</v>
      </c>
      <c r="B98" s="9">
        <v>11</v>
      </c>
      <c r="C98" s="9">
        <v>600</v>
      </c>
      <c r="D98" s="9">
        <v>1100</v>
      </c>
      <c r="E98" s="14" t="s">
        <v>1287</v>
      </c>
      <c r="F98" s="15">
        <v>98.02</v>
      </c>
      <c r="G98" s="11">
        <f>(Compact)*98.02</f>
        <v>98.02</v>
      </c>
    </row>
    <row r="99" spans="1:7" x14ac:dyDescent="0.2">
      <c r="A99" s="9" t="s">
        <v>1288</v>
      </c>
      <c r="B99" s="9">
        <v>11</v>
      </c>
      <c r="C99" s="9">
        <v>600</v>
      </c>
      <c r="D99" s="9">
        <v>1200</v>
      </c>
      <c r="E99" s="14" t="s">
        <v>1289</v>
      </c>
      <c r="F99" s="15">
        <v>104.83</v>
      </c>
      <c r="G99" s="11">
        <f>(Compact)*104.83</f>
        <v>104.83</v>
      </c>
    </row>
    <row r="100" spans="1:7" x14ac:dyDescent="0.2">
      <c r="A100" s="9" t="s">
        <v>1290</v>
      </c>
      <c r="B100" s="9">
        <v>11</v>
      </c>
      <c r="C100" s="9">
        <v>600</v>
      </c>
      <c r="D100" s="9">
        <v>1400</v>
      </c>
      <c r="E100" s="14" t="s">
        <v>1291</v>
      </c>
      <c r="F100" s="15">
        <v>117.59</v>
      </c>
      <c r="G100" s="11">
        <f>(Compact)*117.59</f>
        <v>117.59</v>
      </c>
    </row>
    <row r="101" spans="1:7" x14ac:dyDescent="0.2">
      <c r="A101" s="9" t="s">
        <v>1292</v>
      </c>
      <c r="B101" s="9">
        <v>11</v>
      </c>
      <c r="C101" s="9">
        <v>600</v>
      </c>
      <c r="D101" s="9">
        <v>1600</v>
      </c>
      <c r="E101" s="14" t="s">
        <v>1293</v>
      </c>
      <c r="F101" s="15">
        <v>134.55000000000001</v>
      </c>
      <c r="G101" s="11">
        <f>(Compact)*134.55</f>
        <v>134.55000000000001</v>
      </c>
    </row>
    <row r="102" spans="1:7" x14ac:dyDescent="0.2">
      <c r="A102" s="9" t="s">
        <v>1294</v>
      </c>
      <c r="B102" s="9">
        <v>11</v>
      </c>
      <c r="C102" s="9">
        <v>600</v>
      </c>
      <c r="D102" s="9">
        <v>1800</v>
      </c>
      <c r="E102" s="14" t="s">
        <v>1295</v>
      </c>
      <c r="F102" s="15">
        <v>150.5</v>
      </c>
      <c r="G102" s="11">
        <f>(Compact)*150.5</f>
        <v>150.5</v>
      </c>
    </row>
    <row r="103" spans="1:7" x14ac:dyDescent="0.2">
      <c r="A103" s="9" t="s">
        <v>1296</v>
      </c>
      <c r="B103" s="9">
        <v>11</v>
      </c>
      <c r="C103" s="9">
        <v>600</v>
      </c>
      <c r="D103" s="9">
        <v>2000</v>
      </c>
      <c r="E103" s="14" t="s">
        <v>1297</v>
      </c>
      <c r="F103" s="15">
        <v>162.38</v>
      </c>
      <c r="G103" s="11">
        <f>(Compact)*162.38</f>
        <v>162.38</v>
      </c>
    </row>
    <row r="104" spans="1:7" x14ac:dyDescent="0.2">
      <c r="A104" s="9" t="s">
        <v>1298</v>
      </c>
      <c r="B104" s="9">
        <v>11</v>
      </c>
      <c r="C104" s="9">
        <v>600</v>
      </c>
      <c r="D104" s="9">
        <v>2300</v>
      </c>
      <c r="E104" s="14" t="s">
        <v>1299</v>
      </c>
      <c r="F104" s="15">
        <v>182.54</v>
      </c>
      <c r="G104" s="11">
        <f>(Compact)*182.54</f>
        <v>182.54</v>
      </c>
    </row>
    <row r="105" spans="1:7" x14ac:dyDescent="0.2">
      <c r="A105" s="9" t="s">
        <v>1300</v>
      </c>
      <c r="B105" s="9">
        <v>11</v>
      </c>
      <c r="C105" s="9">
        <v>600</v>
      </c>
      <c r="D105" s="9">
        <v>2600</v>
      </c>
      <c r="E105" s="14" t="s">
        <v>1301</v>
      </c>
      <c r="F105" s="15">
        <v>206.19</v>
      </c>
      <c r="G105" s="11">
        <f>(Compact)*206.19</f>
        <v>206.19</v>
      </c>
    </row>
    <row r="106" spans="1:7" x14ac:dyDescent="0.2">
      <c r="A106" s="9" t="s">
        <v>1302</v>
      </c>
      <c r="B106" s="9">
        <v>11</v>
      </c>
      <c r="C106" s="9">
        <v>600</v>
      </c>
      <c r="D106" s="9">
        <v>3000</v>
      </c>
      <c r="E106" s="14" t="s">
        <v>1303</v>
      </c>
      <c r="F106" s="15">
        <v>230.15</v>
      </c>
      <c r="G106" s="11">
        <f>(Compact)*230.15</f>
        <v>230.15</v>
      </c>
    </row>
    <row r="107" spans="1:7" x14ac:dyDescent="0.2">
      <c r="A107" s="9" t="s">
        <v>1304</v>
      </c>
      <c r="B107" s="9">
        <v>11</v>
      </c>
      <c r="C107" s="9">
        <v>900</v>
      </c>
      <c r="D107" s="9">
        <v>400</v>
      </c>
      <c r="E107" s="14" t="s">
        <v>1305</v>
      </c>
      <c r="F107" s="15">
        <v>73.58</v>
      </c>
      <c r="G107" s="11">
        <f>(Compact)*73.58</f>
        <v>73.58</v>
      </c>
    </row>
    <row r="108" spans="1:7" x14ac:dyDescent="0.2">
      <c r="A108" s="9" t="s">
        <v>1306</v>
      </c>
      <c r="B108" s="9">
        <v>11</v>
      </c>
      <c r="C108" s="9">
        <v>900</v>
      </c>
      <c r="D108" s="9">
        <v>500</v>
      </c>
      <c r="E108" s="14" t="s">
        <v>1307</v>
      </c>
      <c r="F108" s="15">
        <v>81.290000000000006</v>
      </c>
      <c r="G108" s="11">
        <f>(Compact)*81.29</f>
        <v>81.290000000000006</v>
      </c>
    </row>
    <row r="109" spans="1:7" x14ac:dyDescent="0.2">
      <c r="A109" s="9" t="s">
        <v>1308</v>
      </c>
      <c r="B109" s="9">
        <v>11</v>
      </c>
      <c r="C109" s="9">
        <v>900</v>
      </c>
      <c r="D109" s="9">
        <v>600</v>
      </c>
      <c r="E109" s="14" t="s">
        <v>1309</v>
      </c>
      <c r="F109" s="15">
        <v>89.08</v>
      </c>
      <c r="G109" s="11">
        <f>(Compact)*89.08</f>
        <v>89.08</v>
      </c>
    </row>
    <row r="110" spans="1:7" x14ac:dyDescent="0.2">
      <c r="A110" s="9" t="s">
        <v>1310</v>
      </c>
      <c r="B110" s="9">
        <v>11</v>
      </c>
      <c r="C110" s="9">
        <v>900</v>
      </c>
      <c r="D110" s="9">
        <v>700</v>
      </c>
      <c r="E110" s="14" t="s">
        <v>1311</v>
      </c>
      <c r="F110" s="15">
        <v>96.87</v>
      </c>
      <c r="G110" s="11">
        <f>(Compact)*96.87</f>
        <v>96.87</v>
      </c>
    </row>
    <row r="111" spans="1:7" x14ac:dyDescent="0.2">
      <c r="A111" s="9" t="s">
        <v>1312</v>
      </c>
      <c r="B111" s="9">
        <v>11</v>
      </c>
      <c r="C111" s="9">
        <v>900</v>
      </c>
      <c r="D111" s="9">
        <v>800</v>
      </c>
      <c r="E111" s="14" t="s">
        <v>1313</v>
      </c>
      <c r="F111" s="15">
        <v>104.35</v>
      </c>
      <c r="G111" s="11">
        <f>(Compact)*104.35</f>
        <v>104.35</v>
      </c>
    </row>
    <row r="112" spans="1:7" x14ac:dyDescent="0.2">
      <c r="A112" s="9" t="s">
        <v>1314</v>
      </c>
      <c r="B112" s="9">
        <v>11</v>
      </c>
      <c r="C112" s="9">
        <v>900</v>
      </c>
      <c r="D112" s="9">
        <v>900</v>
      </c>
      <c r="E112" s="14" t="s">
        <v>1315</v>
      </c>
      <c r="F112" s="15">
        <v>111.38</v>
      </c>
      <c r="G112" s="11">
        <f>(Compact)*111.38</f>
        <v>111.38</v>
      </c>
    </row>
    <row r="113" spans="1:7" x14ac:dyDescent="0.2">
      <c r="A113" s="9" t="s">
        <v>1316</v>
      </c>
      <c r="B113" s="9">
        <v>11</v>
      </c>
      <c r="C113" s="9">
        <v>900</v>
      </c>
      <c r="D113" s="9">
        <v>1000</v>
      </c>
      <c r="E113" s="14" t="s">
        <v>1317</v>
      </c>
      <c r="F113" s="15">
        <v>121.02</v>
      </c>
      <c r="G113" s="11">
        <f>(Compact)*121.02</f>
        <v>121.02</v>
      </c>
    </row>
    <row r="114" spans="1:7" x14ac:dyDescent="0.2">
      <c r="A114" s="9" t="s">
        <v>1318</v>
      </c>
      <c r="B114" s="9">
        <v>11</v>
      </c>
      <c r="C114" s="9">
        <v>900</v>
      </c>
      <c r="D114" s="9">
        <v>1100</v>
      </c>
      <c r="E114" s="14" t="s">
        <v>1319</v>
      </c>
      <c r="F114" s="15">
        <v>130.74</v>
      </c>
      <c r="G114" s="11">
        <f>(Compact)*130.74</f>
        <v>130.74</v>
      </c>
    </row>
    <row r="115" spans="1:7" x14ac:dyDescent="0.2">
      <c r="A115" s="9" t="s">
        <v>1320</v>
      </c>
      <c r="B115" s="9">
        <v>11</v>
      </c>
      <c r="C115" s="9">
        <v>900</v>
      </c>
      <c r="D115" s="9">
        <v>1200</v>
      </c>
      <c r="E115" s="14" t="s">
        <v>1321</v>
      </c>
      <c r="F115" s="15">
        <v>140.38999999999999</v>
      </c>
      <c r="G115" s="11">
        <f>(Compact)*140.39</f>
        <v>140.38999999999999</v>
      </c>
    </row>
    <row r="116" spans="1:7" x14ac:dyDescent="0.2">
      <c r="A116" s="9" t="s">
        <v>1322</v>
      </c>
      <c r="B116" s="9">
        <v>11</v>
      </c>
      <c r="C116" s="9">
        <v>900</v>
      </c>
      <c r="D116" s="9">
        <v>1400</v>
      </c>
      <c r="E116" s="14" t="s">
        <v>1323</v>
      </c>
      <c r="F116" s="15">
        <v>160.44</v>
      </c>
      <c r="G116" s="11">
        <f>(Compact)*160.44</f>
        <v>160.44</v>
      </c>
    </row>
    <row r="117" spans="1:7" x14ac:dyDescent="0.2">
      <c r="A117" s="9" t="s">
        <v>1324</v>
      </c>
      <c r="B117" s="9">
        <v>11</v>
      </c>
      <c r="C117" s="9">
        <v>900</v>
      </c>
      <c r="D117" s="9">
        <v>1600</v>
      </c>
      <c r="E117" s="14" t="s">
        <v>1325</v>
      </c>
      <c r="F117" s="15">
        <v>180.31</v>
      </c>
      <c r="G117" s="11">
        <f>(Compact)*180.31</f>
        <v>180.31</v>
      </c>
    </row>
    <row r="118" spans="1:7" x14ac:dyDescent="0.2">
      <c r="A118" s="9" t="s">
        <v>1326</v>
      </c>
      <c r="B118" s="9">
        <v>11</v>
      </c>
      <c r="C118" s="9">
        <v>900</v>
      </c>
      <c r="D118" s="9">
        <v>1800</v>
      </c>
      <c r="E118" s="14" t="s">
        <v>1327</v>
      </c>
      <c r="F118" s="15">
        <v>201.12</v>
      </c>
      <c r="G118" s="11">
        <f>(Compact)*201.12</f>
        <v>201.12</v>
      </c>
    </row>
    <row r="119" spans="1:7" x14ac:dyDescent="0.2">
      <c r="A119" s="9" t="s">
        <v>1328</v>
      </c>
      <c r="B119" s="9">
        <v>11</v>
      </c>
      <c r="C119" s="9">
        <v>900</v>
      </c>
      <c r="D119" s="9">
        <v>2000</v>
      </c>
      <c r="E119" s="14" t="s">
        <v>1329</v>
      </c>
      <c r="F119" s="15">
        <v>220.5</v>
      </c>
      <c r="G119" s="11">
        <f>(Compact)*220.5</f>
        <v>220.5</v>
      </c>
    </row>
    <row r="120" spans="1:7" x14ac:dyDescent="0.2">
      <c r="A120" s="9" t="s">
        <v>1330</v>
      </c>
      <c r="B120" s="9">
        <v>11</v>
      </c>
      <c r="C120" s="9">
        <v>900</v>
      </c>
      <c r="D120" s="9">
        <v>2300</v>
      </c>
      <c r="E120" s="14" t="s">
        <v>1331</v>
      </c>
      <c r="F120" s="15">
        <v>244.46</v>
      </c>
      <c r="G120" s="11">
        <f>(Compact)*244.46</f>
        <v>244.46</v>
      </c>
    </row>
    <row r="121" spans="1:7" x14ac:dyDescent="0.2">
      <c r="A121" s="9" t="s">
        <v>1332</v>
      </c>
      <c r="B121" s="9">
        <v>11</v>
      </c>
      <c r="C121" s="9">
        <v>900</v>
      </c>
      <c r="D121" s="9">
        <v>2600</v>
      </c>
      <c r="E121" s="14" t="s">
        <v>1333</v>
      </c>
      <c r="F121" s="15">
        <v>271.8</v>
      </c>
      <c r="G121" s="11">
        <f>(Compact)*271.8</f>
        <v>271.8</v>
      </c>
    </row>
    <row r="122" spans="1:7" x14ac:dyDescent="0.2">
      <c r="A122" s="9" t="s">
        <v>1334</v>
      </c>
      <c r="B122" s="9">
        <v>11</v>
      </c>
      <c r="C122" s="9">
        <v>900</v>
      </c>
      <c r="D122" s="9">
        <v>3000</v>
      </c>
      <c r="E122" s="14" t="s">
        <v>1335</v>
      </c>
      <c r="F122" s="15">
        <v>307.62</v>
      </c>
      <c r="G122" s="11">
        <f>(Compact)*307.62</f>
        <v>307.62</v>
      </c>
    </row>
    <row r="123" spans="1:7" x14ac:dyDescent="0.2">
      <c r="A123" s="9" t="s">
        <v>1336</v>
      </c>
      <c r="B123" s="9">
        <v>21</v>
      </c>
      <c r="C123" s="9">
        <v>300</v>
      </c>
      <c r="D123" s="9">
        <v>400</v>
      </c>
      <c r="E123" s="14" t="s">
        <v>1337</v>
      </c>
      <c r="F123" s="15">
        <v>62.71</v>
      </c>
      <c r="G123" s="11">
        <f>(Compact)*62.71</f>
        <v>62.71</v>
      </c>
    </row>
    <row r="124" spans="1:7" x14ac:dyDescent="0.2">
      <c r="A124" s="9" t="s">
        <v>1338</v>
      </c>
      <c r="B124" s="9">
        <v>21</v>
      </c>
      <c r="C124" s="9">
        <v>300</v>
      </c>
      <c r="D124" s="9">
        <v>500</v>
      </c>
      <c r="E124" s="14" t="s">
        <v>1339</v>
      </c>
      <c r="F124" s="15">
        <v>70.849999999999994</v>
      </c>
      <c r="G124" s="11">
        <f>(Compact)*70.85</f>
        <v>70.849999999999994</v>
      </c>
    </row>
    <row r="125" spans="1:7" x14ac:dyDescent="0.2">
      <c r="A125" s="9" t="s">
        <v>1340</v>
      </c>
      <c r="B125" s="9">
        <v>21</v>
      </c>
      <c r="C125" s="9">
        <v>300</v>
      </c>
      <c r="D125" s="9">
        <v>600</v>
      </c>
      <c r="E125" s="14" t="s">
        <v>1341</v>
      </c>
      <c r="F125" s="15">
        <v>77.48</v>
      </c>
      <c r="G125" s="11">
        <f>(Compact)*77.48</f>
        <v>77.48</v>
      </c>
    </row>
    <row r="126" spans="1:7" x14ac:dyDescent="0.2">
      <c r="A126" s="9" t="s">
        <v>1342</v>
      </c>
      <c r="B126" s="9">
        <v>21</v>
      </c>
      <c r="C126" s="9">
        <v>300</v>
      </c>
      <c r="D126" s="9">
        <v>700</v>
      </c>
      <c r="E126" s="14" t="s">
        <v>1343</v>
      </c>
      <c r="F126" s="15">
        <v>84.7</v>
      </c>
      <c r="G126" s="11">
        <f>(Compact)*84.7</f>
        <v>84.7</v>
      </c>
    </row>
    <row r="127" spans="1:7" x14ac:dyDescent="0.2">
      <c r="A127" s="9" t="s">
        <v>1344</v>
      </c>
      <c r="B127" s="9">
        <v>21</v>
      </c>
      <c r="C127" s="9">
        <v>300</v>
      </c>
      <c r="D127" s="9">
        <v>800</v>
      </c>
      <c r="E127" s="14" t="s">
        <v>1345</v>
      </c>
      <c r="F127" s="15">
        <v>92</v>
      </c>
      <c r="G127" s="11">
        <f>(Compact)*92</f>
        <v>92</v>
      </c>
    </row>
    <row r="128" spans="1:7" x14ac:dyDescent="0.2">
      <c r="A128" s="9" t="s">
        <v>1346</v>
      </c>
      <c r="B128" s="9">
        <v>21</v>
      </c>
      <c r="C128" s="9">
        <v>300</v>
      </c>
      <c r="D128" s="9">
        <v>900</v>
      </c>
      <c r="E128" s="14" t="s">
        <v>1347</v>
      </c>
      <c r="F128" s="15">
        <v>99.19</v>
      </c>
      <c r="G128" s="11">
        <f>(Compact)*99.19</f>
        <v>99.19</v>
      </c>
    </row>
    <row r="129" spans="1:7" x14ac:dyDescent="0.2">
      <c r="A129" s="9" t="s">
        <v>1348</v>
      </c>
      <c r="B129" s="9">
        <v>21</v>
      </c>
      <c r="C129" s="9">
        <v>300</v>
      </c>
      <c r="D129" s="9">
        <v>1000</v>
      </c>
      <c r="E129" s="14" t="s">
        <v>1349</v>
      </c>
      <c r="F129" s="15">
        <v>106.5</v>
      </c>
      <c r="G129" s="11">
        <f>(Compact)*106.5</f>
        <v>106.5</v>
      </c>
    </row>
    <row r="130" spans="1:7" x14ac:dyDescent="0.2">
      <c r="A130" s="9" t="s">
        <v>1350</v>
      </c>
      <c r="B130" s="9">
        <v>21</v>
      </c>
      <c r="C130" s="9">
        <v>300</v>
      </c>
      <c r="D130" s="9">
        <v>1100</v>
      </c>
      <c r="E130" s="14" t="s">
        <v>1351</v>
      </c>
      <c r="F130" s="15">
        <v>113.51</v>
      </c>
      <c r="G130" s="11">
        <f>(Compact)*113.51</f>
        <v>113.51</v>
      </c>
    </row>
    <row r="131" spans="1:7" x14ac:dyDescent="0.2">
      <c r="A131" s="9" t="s">
        <v>1352</v>
      </c>
      <c r="B131" s="9">
        <v>21</v>
      </c>
      <c r="C131" s="9">
        <v>300</v>
      </c>
      <c r="D131" s="9">
        <v>1200</v>
      </c>
      <c r="E131" s="14" t="s">
        <v>1353</v>
      </c>
      <c r="F131" s="15">
        <v>120.8</v>
      </c>
      <c r="G131" s="11">
        <f>(Compact)*120.8</f>
        <v>120.8</v>
      </c>
    </row>
    <row r="132" spans="1:7" x14ac:dyDescent="0.2">
      <c r="A132" s="9" t="s">
        <v>1354</v>
      </c>
      <c r="B132" s="9">
        <v>21</v>
      </c>
      <c r="C132" s="9">
        <v>300</v>
      </c>
      <c r="D132" s="9">
        <v>1400</v>
      </c>
      <c r="E132" s="14" t="s">
        <v>1355</v>
      </c>
      <c r="F132" s="15">
        <v>135</v>
      </c>
      <c r="G132" s="11">
        <f>(Compact)*135</f>
        <v>135</v>
      </c>
    </row>
    <row r="133" spans="1:7" x14ac:dyDescent="0.2">
      <c r="A133" s="9" t="s">
        <v>1356</v>
      </c>
      <c r="B133" s="9">
        <v>21</v>
      </c>
      <c r="C133" s="9">
        <v>300</v>
      </c>
      <c r="D133" s="9">
        <v>1600</v>
      </c>
      <c r="E133" s="14" t="s">
        <v>1357</v>
      </c>
      <c r="F133" s="15">
        <v>149.33000000000001</v>
      </c>
      <c r="G133" s="11">
        <f>(Compact)*149.33</f>
        <v>149.33000000000001</v>
      </c>
    </row>
    <row r="134" spans="1:7" x14ac:dyDescent="0.2">
      <c r="A134" s="9" t="s">
        <v>1358</v>
      </c>
      <c r="B134" s="9">
        <v>21</v>
      </c>
      <c r="C134" s="9">
        <v>300</v>
      </c>
      <c r="D134" s="9">
        <v>1800</v>
      </c>
      <c r="E134" s="14" t="s">
        <v>1359</v>
      </c>
      <c r="F134" s="15">
        <v>163.63999999999999</v>
      </c>
      <c r="G134" s="11">
        <f>(Compact)*163.64</f>
        <v>163.63999999999999</v>
      </c>
    </row>
    <row r="135" spans="1:7" x14ac:dyDescent="0.2">
      <c r="A135" s="9" t="s">
        <v>1360</v>
      </c>
      <c r="B135" s="9">
        <v>21</v>
      </c>
      <c r="C135" s="9">
        <v>300</v>
      </c>
      <c r="D135" s="9">
        <v>2000</v>
      </c>
      <c r="E135" s="14" t="s">
        <v>1361</v>
      </c>
      <c r="F135" s="15">
        <v>177.68</v>
      </c>
      <c r="G135" s="11">
        <f>(Compact)*177.68</f>
        <v>177.68</v>
      </c>
    </row>
    <row r="136" spans="1:7" x14ac:dyDescent="0.2">
      <c r="A136" s="9" t="s">
        <v>1362</v>
      </c>
      <c r="B136" s="9">
        <v>21</v>
      </c>
      <c r="C136" s="9">
        <v>300</v>
      </c>
      <c r="D136" s="9">
        <v>2300</v>
      </c>
      <c r="E136" s="14" t="s">
        <v>1363</v>
      </c>
      <c r="F136" s="15">
        <v>199.48</v>
      </c>
      <c r="G136" s="11">
        <f>(Compact)*199.48</f>
        <v>199.48</v>
      </c>
    </row>
    <row r="137" spans="1:7" x14ac:dyDescent="0.2">
      <c r="A137" s="9" t="s">
        <v>1364</v>
      </c>
      <c r="B137" s="9">
        <v>21</v>
      </c>
      <c r="C137" s="9">
        <v>300</v>
      </c>
      <c r="D137" s="9">
        <v>2600</v>
      </c>
      <c r="E137" s="14" t="s">
        <v>1365</v>
      </c>
      <c r="F137" s="15">
        <v>220.98</v>
      </c>
      <c r="G137" s="11">
        <f>(Compact)*220.98</f>
        <v>220.98</v>
      </c>
    </row>
    <row r="138" spans="1:7" x14ac:dyDescent="0.2">
      <c r="A138" s="9" t="s">
        <v>1366</v>
      </c>
      <c r="B138" s="9">
        <v>21</v>
      </c>
      <c r="C138" s="9">
        <v>300</v>
      </c>
      <c r="D138" s="9">
        <v>3000</v>
      </c>
      <c r="E138" s="14" t="s">
        <v>1367</v>
      </c>
      <c r="F138" s="15">
        <v>249.52</v>
      </c>
      <c r="G138" s="11">
        <f>(Compact)*249.52</f>
        <v>249.52</v>
      </c>
    </row>
    <row r="139" spans="1:7" x14ac:dyDescent="0.2">
      <c r="A139" s="9" t="s">
        <v>1368</v>
      </c>
      <c r="B139" s="9">
        <v>21</v>
      </c>
      <c r="C139" s="9">
        <v>400</v>
      </c>
      <c r="D139" s="9">
        <v>400</v>
      </c>
      <c r="E139" s="14" t="s">
        <v>1369</v>
      </c>
      <c r="F139" s="15">
        <v>65.78</v>
      </c>
      <c r="G139" s="11">
        <f>(Compact)*65.78</f>
        <v>65.78</v>
      </c>
    </row>
    <row r="140" spans="1:7" x14ac:dyDescent="0.2">
      <c r="A140" s="9" t="s">
        <v>1370</v>
      </c>
      <c r="B140" s="9">
        <v>21</v>
      </c>
      <c r="C140" s="9">
        <v>400</v>
      </c>
      <c r="D140" s="9">
        <v>500</v>
      </c>
      <c r="E140" s="14" t="s">
        <v>1371</v>
      </c>
      <c r="F140" s="15">
        <v>74.569999999999993</v>
      </c>
      <c r="G140" s="11">
        <f>(Compact)*74.57</f>
        <v>74.569999999999993</v>
      </c>
    </row>
    <row r="141" spans="1:7" x14ac:dyDescent="0.2">
      <c r="A141" s="9" t="s">
        <v>1372</v>
      </c>
      <c r="B141" s="9">
        <v>21</v>
      </c>
      <c r="C141" s="9">
        <v>400</v>
      </c>
      <c r="D141" s="9">
        <v>600</v>
      </c>
      <c r="E141" s="14" t="s">
        <v>1373</v>
      </c>
      <c r="F141" s="15">
        <v>83.04</v>
      </c>
      <c r="G141" s="11">
        <f>(Compact)*83.04</f>
        <v>83.04</v>
      </c>
    </row>
    <row r="142" spans="1:7" x14ac:dyDescent="0.2">
      <c r="A142" s="9" t="s">
        <v>1374</v>
      </c>
      <c r="B142" s="9">
        <v>21</v>
      </c>
      <c r="C142" s="9">
        <v>400</v>
      </c>
      <c r="D142" s="9">
        <v>700</v>
      </c>
      <c r="E142" s="14" t="s">
        <v>1375</v>
      </c>
      <c r="F142" s="15">
        <v>92</v>
      </c>
      <c r="G142" s="11">
        <f>(Compact)*92</f>
        <v>92</v>
      </c>
    </row>
    <row r="143" spans="1:7" x14ac:dyDescent="0.2">
      <c r="A143" s="9" t="s">
        <v>1376</v>
      </c>
      <c r="B143" s="9">
        <v>21</v>
      </c>
      <c r="C143" s="9">
        <v>400</v>
      </c>
      <c r="D143" s="9">
        <v>800</v>
      </c>
      <c r="E143" s="14" t="s">
        <v>1377</v>
      </c>
      <c r="F143" s="15">
        <v>100.67</v>
      </c>
      <c r="G143" s="11">
        <f>(Compact)*100.67</f>
        <v>100.67</v>
      </c>
    </row>
    <row r="144" spans="1:7" x14ac:dyDescent="0.2">
      <c r="A144" s="9" t="s">
        <v>1378</v>
      </c>
      <c r="B144" s="9">
        <v>21</v>
      </c>
      <c r="C144" s="9">
        <v>400</v>
      </c>
      <c r="D144" s="9">
        <v>900</v>
      </c>
      <c r="E144" s="14" t="s">
        <v>1379</v>
      </c>
      <c r="F144" s="15">
        <v>109.14</v>
      </c>
      <c r="G144" s="11">
        <f>(Compact)*109.14</f>
        <v>109.14</v>
      </c>
    </row>
    <row r="145" spans="1:7" x14ac:dyDescent="0.2">
      <c r="A145" s="9" t="s">
        <v>1380</v>
      </c>
      <c r="B145" s="9">
        <v>21</v>
      </c>
      <c r="C145" s="9">
        <v>400</v>
      </c>
      <c r="D145" s="9">
        <v>1000</v>
      </c>
      <c r="E145" s="14" t="s">
        <v>1381</v>
      </c>
      <c r="F145" s="15">
        <v>117.59</v>
      </c>
      <c r="G145" s="11">
        <f>(Compact)*117.59</f>
        <v>117.59</v>
      </c>
    </row>
    <row r="146" spans="1:7" x14ac:dyDescent="0.2">
      <c r="A146" s="9" t="s">
        <v>1382</v>
      </c>
      <c r="B146" s="9">
        <v>21</v>
      </c>
      <c r="C146" s="9">
        <v>400</v>
      </c>
      <c r="D146" s="9">
        <v>1100</v>
      </c>
      <c r="E146" s="14" t="s">
        <v>1383</v>
      </c>
      <c r="F146" s="15">
        <v>126.86</v>
      </c>
      <c r="G146" s="11">
        <f>(Compact)*126.86</f>
        <v>126.86</v>
      </c>
    </row>
    <row r="147" spans="1:7" x14ac:dyDescent="0.2">
      <c r="A147" s="9" t="s">
        <v>1384</v>
      </c>
      <c r="B147" s="9">
        <v>21</v>
      </c>
      <c r="C147" s="9">
        <v>400</v>
      </c>
      <c r="D147" s="9">
        <v>1200</v>
      </c>
      <c r="E147" s="14" t="s">
        <v>1385</v>
      </c>
      <c r="F147" s="15">
        <v>135.33000000000001</v>
      </c>
      <c r="G147" s="11">
        <f>(Compact)*135.33</f>
        <v>135.33000000000001</v>
      </c>
    </row>
    <row r="148" spans="1:7" x14ac:dyDescent="0.2">
      <c r="A148" s="9" t="s">
        <v>1386</v>
      </c>
      <c r="B148" s="9">
        <v>21</v>
      </c>
      <c r="C148" s="9">
        <v>400</v>
      </c>
      <c r="D148" s="9">
        <v>1400</v>
      </c>
      <c r="E148" s="14" t="s">
        <v>1387</v>
      </c>
      <c r="F148" s="15">
        <v>152.44999999999999</v>
      </c>
      <c r="G148" s="11">
        <f>(Compact)*152.45</f>
        <v>152.44999999999999</v>
      </c>
    </row>
    <row r="149" spans="1:7" x14ac:dyDescent="0.2">
      <c r="A149" s="9" t="s">
        <v>1388</v>
      </c>
      <c r="B149" s="9">
        <v>21</v>
      </c>
      <c r="C149" s="9">
        <v>400</v>
      </c>
      <c r="D149" s="9">
        <v>1600</v>
      </c>
      <c r="E149" s="14" t="s">
        <v>1389</v>
      </c>
      <c r="F149" s="15">
        <v>169.69</v>
      </c>
      <c r="G149" s="11">
        <f>(Compact)*169.69</f>
        <v>169.69</v>
      </c>
    </row>
    <row r="150" spans="1:7" x14ac:dyDescent="0.2">
      <c r="A150" s="9" t="s">
        <v>1390</v>
      </c>
      <c r="B150" s="9">
        <v>21</v>
      </c>
      <c r="C150" s="9">
        <v>400</v>
      </c>
      <c r="D150" s="9">
        <v>1800</v>
      </c>
      <c r="E150" s="14" t="s">
        <v>1391</v>
      </c>
      <c r="F150" s="15">
        <v>187.33</v>
      </c>
      <c r="G150" s="11">
        <f>(Compact)*187.33</f>
        <v>187.33</v>
      </c>
    </row>
    <row r="151" spans="1:7" x14ac:dyDescent="0.2">
      <c r="A151" s="9" t="s">
        <v>1392</v>
      </c>
      <c r="B151" s="9">
        <v>21</v>
      </c>
      <c r="C151" s="9">
        <v>400</v>
      </c>
      <c r="D151" s="9">
        <v>2000</v>
      </c>
      <c r="E151" s="14" t="s">
        <v>1393</v>
      </c>
      <c r="F151" s="15">
        <v>204.23</v>
      </c>
      <c r="G151" s="11">
        <f>(Compact)*204.23</f>
        <v>204.23</v>
      </c>
    </row>
    <row r="152" spans="1:7" x14ac:dyDescent="0.2">
      <c r="A152" s="9" t="s">
        <v>1394</v>
      </c>
      <c r="B152" s="9">
        <v>21</v>
      </c>
      <c r="C152" s="9">
        <v>400</v>
      </c>
      <c r="D152" s="9">
        <v>2300</v>
      </c>
      <c r="E152" s="14" t="s">
        <v>1395</v>
      </c>
      <c r="F152" s="15">
        <v>230.42</v>
      </c>
      <c r="G152" s="11">
        <f>(Compact)*230.42</f>
        <v>230.42</v>
      </c>
    </row>
    <row r="153" spans="1:7" x14ac:dyDescent="0.2">
      <c r="A153" s="9" t="s">
        <v>1396</v>
      </c>
      <c r="B153" s="9">
        <v>21</v>
      </c>
      <c r="C153" s="9">
        <v>400</v>
      </c>
      <c r="D153" s="9">
        <v>2600</v>
      </c>
      <c r="E153" s="14" t="s">
        <v>1397</v>
      </c>
      <c r="F153" s="15">
        <v>256.32</v>
      </c>
      <c r="G153" s="11">
        <f>(Compact)*256.32</f>
        <v>256.32</v>
      </c>
    </row>
    <row r="154" spans="1:7" x14ac:dyDescent="0.2">
      <c r="A154" s="9" t="s">
        <v>1398</v>
      </c>
      <c r="B154" s="9">
        <v>21</v>
      </c>
      <c r="C154" s="9">
        <v>400</v>
      </c>
      <c r="D154" s="9">
        <v>3000</v>
      </c>
      <c r="E154" s="14" t="s">
        <v>1399</v>
      </c>
      <c r="F154" s="15">
        <v>291.18</v>
      </c>
      <c r="G154" s="11">
        <f>(Compact)*291.18</f>
        <v>291.18</v>
      </c>
    </row>
    <row r="155" spans="1:7" x14ac:dyDescent="0.2">
      <c r="A155" s="9" t="s">
        <v>1400</v>
      </c>
      <c r="B155" s="9">
        <v>21</v>
      </c>
      <c r="C155" s="9">
        <v>450</v>
      </c>
      <c r="D155" s="9">
        <v>400</v>
      </c>
      <c r="E155" s="14" t="s">
        <v>1401</v>
      </c>
      <c r="F155" s="15">
        <v>72.319999999999993</v>
      </c>
      <c r="G155" s="11">
        <f>(Compact)*72.32</f>
        <v>72.319999999999993</v>
      </c>
    </row>
    <row r="156" spans="1:7" x14ac:dyDescent="0.2">
      <c r="A156" s="9" t="s">
        <v>1402</v>
      </c>
      <c r="B156" s="9">
        <v>21</v>
      </c>
      <c r="C156" s="9">
        <v>450</v>
      </c>
      <c r="D156" s="9">
        <v>500</v>
      </c>
      <c r="E156" s="14" t="s">
        <v>1403</v>
      </c>
      <c r="F156" s="15">
        <v>81.569999999999993</v>
      </c>
      <c r="G156" s="11">
        <f>(Compact)*81.57</f>
        <v>81.569999999999993</v>
      </c>
    </row>
    <row r="157" spans="1:7" x14ac:dyDescent="0.2">
      <c r="A157" s="9" t="s">
        <v>1404</v>
      </c>
      <c r="B157" s="9">
        <v>21</v>
      </c>
      <c r="C157" s="9">
        <v>450</v>
      </c>
      <c r="D157" s="9">
        <v>600</v>
      </c>
      <c r="E157" s="14" t="s">
        <v>1405</v>
      </c>
      <c r="F157" s="15">
        <v>91.06</v>
      </c>
      <c r="G157" s="11">
        <f>(Compact)*91.06</f>
        <v>91.06</v>
      </c>
    </row>
    <row r="158" spans="1:7" x14ac:dyDescent="0.2">
      <c r="A158" s="9" t="s">
        <v>1406</v>
      </c>
      <c r="B158" s="9">
        <v>21</v>
      </c>
      <c r="C158" s="9">
        <v>450</v>
      </c>
      <c r="D158" s="9">
        <v>700</v>
      </c>
      <c r="E158" s="14" t="s">
        <v>1407</v>
      </c>
      <c r="F158" s="15">
        <v>100.47</v>
      </c>
      <c r="G158" s="11">
        <f>(Compact)*100.47</f>
        <v>100.47</v>
      </c>
    </row>
    <row r="159" spans="1:7" x14ac:dyDescent="0.2">
      <c r="A159" s="9" t="s">
        <v>1408</v>
      </c>
      <c r="B159" s="9">
        <v>21</v>
      </c>
      <c r="C159" s="9">
        <v>450</v>
      </c>
      <c r="D159" s="9">
        <v>800</v>
      </c>
      <c r="E159" s="14" t="s">
        <v>1409</v>
      </c>
      <c r="F159" s="15">
        <v>109.9</v>
      </c>
      <c r="G159" s="11">
        <f>(Compact)*109.9</f>
        <v>109.9</v>
      </c>
    </row>
    <row r="160" spans="1:7" x14ac:dyDescent="0.2">
      <c r="A160" s="9" t="s">
        <v>1410</v>
      </c>
      <c r="B160" s="9">
        <v>21</v>
      </c>
      <c r="C160" s="9">
        <v>450</v>
      </c>
      <c r="D160" s="9">
        <v>900</v>
      </c>
      <c r="E160" s="14" t="s">
        <v>1411</v>
      </c>
      <c r="F160" s="15">
        <v>119.33</v>
      </c>
      <c r="G160" s="11">
        <f>(Compact)*119.33</f>
        <v>119.33</v>
      </c>
    </row>
    <row r="161" spans="1:7" x14ac:dyDescent="0.2">
      <c r="A161" s="9" t="s">
        <v>1412</v>
      </c>
      <c r="B161" s="9">
        <v>21</v>
      </c>
      <c r="C161" s="9">
        <v>450</v>
      </c>
      <c r="D161" s="9">
        <v>1000</v>
      </c>
      <c r="E161" s="14" t="s">
        <v>1413</v>
      </c>
      <c r="F161" s="15">
        <v>128.5</v>
      </c>
      <c r="G161" s="11">
        <f>(Compact)*128.5</f>
        <v>128.5</v>
      </c>
    </row>
    <row r="162" spans="1:7" x14ac:dyDescent="0.2">
      <c r="A162" s="9" t="s">
        <v>1414</v>
      </c>
      <c r="B162" s="9">
        <v>21</v>
      </c>
      <c r="C162" s="9">
        <v>450</v>
      </c>
      <c r="D162" s="9">
        <v>1100</v>
      </c>
      <c r="E162" s="14" t="s">
        <v>1415</v>
      </c>
      <c r="F162" s="15">
        <v>138.44</v>
      </c>
      <c r="G162" s="11">
        <f>(Compact)*138.44</f>
        <v>138.44</v>
      </c>
    </row>
    <row r="163" spans="1:7" x14ac:dyDescent="0.2">
      <c r="A163" s="9" t="s">
        <v>1416</v>
      </c>
      <c r="B163" s="9">
        <v>21</v>
      </c>
      <c r="C163" s="9">
        <v>450</v>
      </c>
      <c r="D163" s="9">
        <v>1200</v>
      </c>
      <c r="E163" s="14" t="s">
        <v>1417</v>
      </c>
      <c r="F163" s="15">
        <v>147.66999999999999</v>
      </c>
      <c r="G163" s="11">
        <f>(Compact)*147.67</f>
        <v>147.66999999999999</v>
      </c>
    </row>
    <row r="164" spans="1:7" x14ac:dyDescent="0.2">
      <c r="A164" s="9" t="s">
        <v>1418</v>
      </c>
      <c r="B164" s="9">
        <v>21</v>
      </c>
      <c r="C164" s="9">
        <v>450</v>
      </c>
      <c r="D164" s="9">
        <v>1400</v>
      </c>
      <c r="E164" s="14" t="s">
        <v>1419</v>
      </c>
      <c r="F164" s="15">
        <v>166.27</v>
      </c>
      <c r="G164" s="11">
        <f>(Compact)*166.27</f>
        <v>166.27</v>
      </c>
    </row>
    <row r="165" spans="1:7" x14ac:dyDescent="0.2">
      <c r="A165" s="9" t="s">
        <v>1420</v>
      </c>
      <c r="B165" s="9">
        <v>21</v>
      </c>
      <c r="C165" s="9">
        <v>450</v>
      </c>
      <c r="D165" s="9">
        <v>1600</v>
      </c>
      <c r="E165" s="14" t="s">
        <v>1421</v>
      </c>
      <c r="F165" s="15">
        <v>185.18</v>
      </c>
      <c r="G165" s="11">
        <f>(Compact)*185.18</f>
        <v>185.18</v>
      </c>
    </row>
    <row r="166" spans="1:7" x14ac:dyDescent="0.2">
      <c r="A166" s="9" t="s">
        <v>1422</v>
      </c>
      <c r="B166" s="9">
        <v>21</v>
      </c>
      <c r="C166" s="9">
        <v>450</v>
      </c>
      <c r="D166" s="9">
        <v>1800</v>
      </c>
      <c r="E166" s="14" t="s">
        <v>1423</v>
      </c>
      <c r="F166" s="15">
        <v>204.04</v>
      </c>
      <c r="G166" s="11">
        <f>(Compact)*204.04</f>
        <v>204.04</v>
      </c>
    </row>
    <row r="167" spans="1:7" x14ac:dyDescent="0.2">
      <c r="A167" s="9" t="s">
        <v>1424</v>
      </c>
      <c r="B167" s="9">
        <v>21</v>
      </c>
      <c r="C167" s="9">
        <v>450</v>
      </c>
      <c r="D167" s="9">
        <v>2000</v>
      </c>
      <c r="E167" s="14" t="s">
        <v>1425</v>
      </c>
      <c r="F167" s="15">
        <v>222.63</v>
      </c>
      <c r="G167" s="11">
        <f>(Compact)*222.63</f>
        <v>222.63</v>
      </c>
    </row>
    <row r="168" spans="1:7" x14ac:dyDescent="0.2">
      <c r="A168" s="9" t="s">
        <v>1426</v>
      </c>
      <c r="B168" s="9">
        <v>21</v>
      </c>
      <c r="C168" s="9">
        <v>450</v>
      </c>
      <c r="D168" s="9">
        <v>2300</v>
      </c>
      <c r="E168" s="14" t="s">
        <v>1427</v>
      </c>
      <c r="F168" s="15">
        <v>250.97</v>
      </c>
      <c r="G168" s="11">
        <f>(Compact)*250.97</f>
        <v>250.97</v>
      </c>
    </row>
    <row r="169" spans="1:7" x14ac:dyDescent="0.2">
      <c r="A169" s="9" t="s">
        <v>1428</v>
      </c>
      <c r="B169" s="9">
        <v>21</v>
      </c>
      <c r="C169" s="9">
        <v>450</v>
      </c>
      <c r="D169" s="9">
        <v>2600</v>
      </c>
      <c r="E169" s="14" t="s">
        <v>1429</v>
      </c>
      <c r="F169" s="15">
        <v>279.31</v>
      </c>
      <c r="G169" s="11">
        <f>(Compact)*279.31</f>
        <v>279.31</v>
      </c>
    </row>
    <row r="170" spans="1:7" x14ac:dyDescent="0.2">
      <c r="A170" s="9" t="s">
        <v>1430</v>
      </c>
      <c r="B170" s="9">
        <v>21</v>
      </c>
      <c r="C170" s="9">
        <v>450</v>
      </c>
      <c r="D170" s="9">
        <v>3000</v>
      </c>
      <c r="E170" s="14" t="s">
        <v>1431</v>
      </c>
      <c r="F170" s="15">
        <v>316.88</v>
      </c>
      <c r="G170" s="11">
        <f>(Compact)*316.88</f>
        <v>316.88</v>
      </c>
    </row>
    <row r="171" spans="1:7" x14ac:dyDescent="0.2">
      <c r="A171" s="9" t="s">
        <v>1432</v>
      </c>
      <c r="B171" s="9">
        <v>21</v>
      </c>
      <c r="C171" s="9">
        <v>500</v>
      </c>
      <c r="D171" s="9">
        <v>400</v>
      </c>
      <c r="E171" s="14" t="s">
        <v>1433</v>
      </c>
      <c r="F171" s="15">
        <v>77.010000000000005</v>
      </c>
      <c r="G171" s="11">
        <f>(Compact)*77.01</f>
        <v>77.010000000000005</v>
      </c>
    </row>
    <row r="172" spans="1:7" x14ac:dyDescent="0.2">
      <c r="A172" s="9" t="s">
        <v>1434</v>
      </c>
      <c r="B172" s="9">
        <v>21</v>
      </c>
      <c r="C172" s="9">
        <v>500</v>
      </c>
      <c r="D172" s="9">
        <v>500</v>
      </c>
      <c r="E172" s="14" t="s">
        <v>1435</v>
      </c>
      <c r="F172" s="15">
        <v>87.61</v>
      </c>
      <c r="G172" s="11">
        <f>(Compact)*87.61</f>
        <v>87.61</v>
      </c>
    </row>
    <row r="173" spans="1:7" x14ac:dyDescent="0.2">
      <c r="A173" s="9" t="s">
        <v>1436</v>
      </c>
      <c r="B173" s="9">
        <v>21</v>
      </c>
      <c r="C173" s="9">
        <v>500</v>
      </c>
      <c r="D173" s="9">
        <v>600</v>
      </c>
      <c r="E173" s="14" t="s">
        <v>1437</v>
      </c>
      <c r="F173" s="15">
        <v>97.74</v>
      </c>
      <c r="G173" s="11">
        <f>(Compact)*97.74</f>
        <v>97.74</v>
      </c>
    </row>
    <row r="174" spans="1:7" x14ac:dyDescent="0.2">
      <c r="A174" s="9" t="s">
        <v>1438</v>
      </c>
      <c r="B174" s="9">
        <v>21</v>
      </c>
      <c r="C174" s="9">
        <v>500</v>
      </c>
      <c r="D174" s="9">
        <v>700</v>
      </c>
      <c r="E174" s="14" t="s">
        <v>1439</v>
      </c>
      <c r="F174" s="15">
        <v>108.16</v>
      </c>
      <c r="G174" s="11">
        <f>(Compact)*108.16</f>
        <v>108.16</v>
      </c>
    </row>
    <row r="175" spans="1:7" x14ac:dyDescent="0.2">
      <c r="A175" s="9" t="s">
        <v>1440</v>
      </c>
      <c r="B175" s="9">
        <v>21</v>
      </c>
      <c r="C175" s="9">
        <v>500</v>
      </c>
      <c r="D175" s="9">
        <v>800</v>
      </c>
      <c r="E175" s="14" t="s">
        <v>1441</v>
      </c>
      <c r="F175" s="15">
        <v>119.07</v>
      </c>
      <c r="G175" s="11">
        <f>(Compact)*119.07</f>
        <v>119.07</v>
      </c>
    </row>
    <row r="176" spans="1:7" x14ac:dyDescent="0.2">
      <c r="A176" s="9" t="s">
        <v>1442</v>
      </c>
      <c r="B176" s="9">
        <v>21</v>
      </c>
      <c r="C176" s="9">
        <v>500</v>
      </c>
      <c r="D176" s="9">
        <v>900</v>
      </c>
      <c r="E176" s="14" t="s">
        <v>1443</v>
      </c>
      <c r="F176" s="15">
        <v>129.78</v>
      </c>
      <c r="G176" s="11">
        <f>(Compact)*129.78</f>
        <v>129.78</v>
      </c>
    </row>
    <row r="177" spans="1:7" x14ac:dyDescent="0.2">
      <c r="A177" s="9" t="s">
        <v>1444</v>
      </c>
      <c r="B177" s="9">
        <v>21</v>
      </c>
      <c r="C177" s="9">
        <v>500</v>
      </c>
      <c r="D177" s="9">
        <v>1000</v>
      </c>
      <c r="E177" s="14" t="s">
        <v>1445</v>
      </c>
      <c r="F177" s="15">
        <v>139.87</v>
      </c>
      <c r="G177" s="11">
        <f>(Compact)*139.87</f>
        <v>139.87</v>
      </c>
    </row>
    <row r="178" spans="1:7" x14ac:dyDescent="0.2">
      <c r="A178" s="9" t="s">
        <v>1446</v>
      </c>
      <c r="B178" s="9">
        <v>21</v>
      </c>
      <c r="C178" s="9">
        <v>500</v>
      </c>
      <c r="D178" s="9">
        <v>1100</v>
      </c>
      <c r="E178" s="14" t="s">
        <v>1447</v>
      </c>
      <c r="F178" s="15">
        <v>150.5</v>
      </c>
      <c r="G178" s="11">
        <f>(Compact)*150.5</f>
        <v>150.5</v>
      </c>
    </row>
    <row r="179" spans="1:7" x14ac:dyDescent="0.2">
      <c r="A179" s="9" t="s">
        <v>1448</v>
      </c>
      <c r="B179" s="9">
        <v>21</v>
      </c>
      <c r="C179" s="9">
        <v>500</v>
      </c>
      <c r="D179" s="9">
        <v>1200</v>
      </c>
      <c r="E179" s="14" t="s">
        <v>1449</v>
      </c>
      <c r="F179" s="15">
        <v>160.93</v>
      </c>
      <c r="G179" s="11">
        <f>(Compact)*160.93</f>
        <v>160.93</v>
      </c>
    </row>
    <row r="180" spans="1:7" x14ac:dyDescent="0.2">
      <c r="A180" s="9" t="s">
        <v>1450</v>
      </c>
      <c r="B180" s="9">
        <v>21</v>
      </c>
      <c r="C180" s="9">
        <v>500</v>
      </c>
      <c r="D180" s="9">
        <v>1400</v>
      </c>
      <c r="E180" s="14" t="s">
        <v>1451</v>
      </c>
      <c r="F180" s="15">
        <v>182.27</v>
      </c>
      <c r="G180" s="11">
        <f>(Compact)*182.27</f>
        <v>182.27</v>
      </c>
    </row>
    <row r="181" spans="1:7" x14ac:dyDescent="0.2">
      <c r="A181" s="9" t="s">
        <v>1452</v>
      </c>
      <c r="B181" s="9">
        <v>21</v>
      </c>
      <c r="C181" s="9">
        <v>500</v>
      </c>
      <c r="D181" s="9">
        <v>1600</v>
      </c>
      <c r="E181" s="14" t="s">
        <v>1453</v>
      </c>
      <c r="F181" s="15">
        <v>203.07</v>
      </c>
      <c r="G181" s="11">
        <f>(Compact)*203.07</f>
        <v>203.07</v>
      </c>
    </row>
    <row r="182" spans="1:7" x14ac:dyDescent="0.2">
      <c r="A182" s="9" t="s">
        <v>1454</v>
      </c>
      <c r="B182" s="9">
        <v>21</v>
      </c>
      <c r="C182" s="9">
        <v>500</v>
      </c>
      <c r="D182" s="9">
        <v>1800</v>
      </c>
      <c r="E182" s="14" t="s">
        <v>1455</v>
      </c>
      <c r="F182" s="15">
        <v>224.1</v>
      </c>
      <c r="G182" s="11">
        <f>(Compact)*224.1</f>
        <v>224.1</v>
      </c>
    </row>
    <row r="183" spans="1:7" x14ac:dyDescent="0.2">
      <c r="A183" s="9" t="s">
        <v>1456</v>
      </c>
      <c r="B183" s="9">
        <v>21</v>
      </c>
      <c r="C183" s="9">
        <v>500</v>
      </c>
      <c r="D183" s="9">
        <v>2000</v>
      </c>
      <c r="E183" s="14" t="s">
        <v>1457</v>
      </c>
      <c r="F183" s="15">
        <v>244.91</v>
      </c>
      <c r="G183" s="11">
        <f>(Compact)*244.91</f>
        <v>244.91</v>
      </c>
    </row>
    <row r="184" spans="1:7" x14ac:dyDescent="0.2">
      <c r="A184" s="9" t="s">
        <v>1458</v>
      </c>
      <c r="B184" s="9">
        <v>21</v>
      </c>
      <c r="C184" s="9">
        <v>500</v>
      </c>
      <c r="D184" s="9">
        <v>2300</v>
      </c>
      <c r="E184" s="14" t="s">
        <v>1459</v>
      </c>
      <c r="F184" s="15">
        <v>277.16000000000003</v>
      </c>
      <c r="G184" s="11">
        <f>(Compact)*277.16</f>
        <v>277.16000000000003</v>
      </c>
    </row>
    <row r="185" spans="1:7" x14ac:dyDescent="0.2">
      <c r="A185" s="9" t="s">
        <v>1460</v>
      </c>
      <c r="B185" s="9">
        <v>21</v>
      </c>
      <c r="C185" s="9">
        <v>500</v>
      </c>
      <c r="D185" s="9">
        <v>2600</v>
      </c>
      <c r="E185" s="14" t="s">
        <v>1461</v>
      </c>
      <c r="F185" s="15">
        <v>308.61</v>
      </c>
      <c r="G185" s="11">
        <f>(Compact)*308.61</f>
        <v>308.61</v>
      </c>
    </row>
    <row r="186" spans="1:7" x14ac:dyDescent="0.2">
      <c r="A186" s="9" t="s">
        <v>1462</v>
      </c>
      <c r="B186" s="9">
        <v>21</v>
      </c>
      <c r="C186" s="9">
        <v>500</v>
      </c>
      <c r="D186" s="9">
        <v>3000</v>
      </c>
      <c r="E186" s="14" t="s">
        <v>1463</v>
      </c>
      <c r="F186" s="15">
        <v>350.45</v>
      </c>
      <c r="G186" s="11">
        <f>(Compact)*350.45</f>
        <v>350.45</v>
      </c>
    </row>
    <row r="187" spans="1:7" x14ac:dyDescent="0.2">
      <c r="A187" s="9" t="s">
        <v>1464</v>
      </c>
      <c r="B187" s="9">
        <v>21</v>
      </c>
      <c r="C187" s="9">
        <v>550</v>
      </c>
      <c r="D187" s="9">
        <v>400</v>
      </c>
      <c r="E187" s="14" t="s">
        <v>1465</v>
      </c>
      <c r="F187" s="15">
        <v>80.2</v>
      </c>
      <c r="G187" s="11">
        <f>(Compact)*80.2</f>
        <v>80.2</v>
      </c>
    </row>
    <row r="188" spans="1:7" x14ac:dyDescent="0.2">
      <c r="A188" s="9" t="s">
        <v>1466</v>
      </c>
      <c r="B188" s="9">
        <v>21</v>
      </c>
      <c r="C188" s="9">
        <v>550</v>
      </c>
      <c r="D188" s="9">
        <v>500</v>
      </c>
      <c r="E188" s="14" t="s">
        <v>1467</v>
      </c>
      <c r="F188" s="15">
        <v>90.89</v>
      </c>
      <c r="G188" s="11">
        <f>(Compact)*90.89</f>
        <v>90.89</v>
      </c>
    </row>
    <row r="189" spans="1:7" x14ac:dyDescent="0.2">
      <c r="A189" s="9" t="s">
        <v>1468</v>
      </c>
      <c r="B189" s="9">
        <v>21</v>
      </c>
      <c r="C189" s="9">
        <v>550</v>
      </c>
      <c r="D189" s="9">
        <v>600</v>
      </c>
      <c r="E189" s="14" t="s">
        <v>1469</v>
      </c>
      <c r="F189" s="15">
        <v>101.64</v>
      </c>
      <c r="G189" s="11">
        <f>(Compact)*101.64</f>
        <v>101.64</v>
      </c>
    </row>
    <row r="190" spans="1:7" x14ac:dyDescent="0.2">
      <c r="A190" s="9" t="s">
        <v>1470</v>
      </c>
      <c r="B190" s="9">
        <v>21</v>
      </c>
      <c r="C190" s="9">
        <v>550</v>
      </c>
      <c r="D190" s="9">
        <v>700</v>
      </c>
      <c r="E190" s="14" t="s">
        <v>1471</v>
      </c>
      <c r="F190" s="15">
        <v>112.86</v>
      </c>
      <c r="G190" s="11">
        <f>(Compact)*112.86</f>
        <v>112.86</v>
      </c>
    </row>
    <row r="191" spans="1:7" x14ac:dyDescent="0.2">
      <c r="A191" s="9" t="s">
        <v>1472</v>
      </c>
      <c r="B191" s="9">
        <v>21</v>
      </c>
      <c r="C191" s="9">
        <v>550</v>
      </c>
      <c r="D191" s="9">
        <v>800</v>
      </c>
      <c r="E191" s="14" t="s">
        <v>1473</v>
      </c>
      <c r="F191" s="15">
        <v>124.31</v>
      </c>
      <c r="G191" s="11">
        <f>(Compact)*124.31</f>
        <v>124.31</v>
      </c>
    </row>
    <row r="192" spans="1:7" x14ac:dyDescent="0.2">
      <c r="A192" s="9" t="s">
        <v>1474</v>
      </c>
      <c r="B192" s="9">
        <v>21</v>
      </c>
      <c r="C192" s="9">
        <v>550</v>
      </c>
      <c r="D192" s="9">
        <v>900</v>
      </c>
      <c r="E192" s="14" t="s">
        <v>1475</v>
      </c>
      <c r="F192" s="15">
        <v>135.41</v>
      </c>
      <c r="G192" s="11">
        <f>(Compact)*135.41</f>
        <v>135.41</v>
      </c>
    </row>
    <row r="193" spans="1:7" x14ac:dyDescent="0.2">
      <c r="A193" s="9" t="s">
        <v>1476</v>
      </c>
      <c r="B193" s="9">
        <v>21</v>
      </c>
      <c r="C193" s="9">
        <v>550</v>
      </c>
      <c r="D193" s="9">
        <v>1000</v>
      </c>
      <c r="E193" s="14" t="s">
        <v>1477</v>
      </c>
      <c r="F193" s="15">
        <v>146.54</v>
      </c>
      <c r="G193" s="11">
        <f>(Compact)*146.54</f>
        <v>146.54</v>
      </c>
    </row>
    <row r="194" spans="1:7" x14ac:dyDescent="0.2">
      <c r="A194" s="9" t="s">
        <v>1478</v>
      </c>
      <c r="B194" s="9">
        <v>21</v>
      </c>
      <c r="C194" s="9">
        <v>550</v>
      </c>
      <c r="D194" s="9">
        <v>1100</v>
      </c>
      <c r="E194" s="14" t="s">
        <v>1479</v>
      </c>
      <c r="F194" s="15">
        <v>157.72</v>
      </c>
      <c r="G194" s="11">
        <f>(Compact)*157.72</f>
        <v>157.72</v>
      </c>
    </row>
    <row r="195" spans="1:7" x14ac:dyDescent="0.2">
      <c r="A195" s="9" t="s">
        <v>1480</v>
      </c>
      <c r="B195" s="9">
        <v>21</v>
      </c>
      <c r="C195" s="9">
        <v>550</v>
      </c>
      <c r="D195" s="9">
        <v>1200</v>
      </c>
      <c r="E195" s="14" t="s">
        <v>1481</v>
      </c>
      <c r="F195" s="15">
        <v>168.74</v>
      </c>
      <c r="G195" s="11">
        <f>(Compact)*168.74</f>
        <v>168.74</v>
      </c>
    </row>
    <row r="196" spans="1:7" x14ac:dyDescent="0.2">
      <c r="A196" s="9" t="s">
        <v>1482</v>
      </c>
      <c r="B196" s="9">
        <v>21</v>
      </c>
      <c r="C196" s="9">
        <v>550</v>
      </c>
      <c r="D196" s="9">
        <v>1400</v>
      </c>
      <c r="E196" s="14" t="s">
        <v>1483</v>
      </c>
      <c r="F196" s="15">
        <v>190.96</v>
      </c>
      <c r="G196" s="11">
        <f>(Compact)*190.96</f>
        <v>190.96</v>
      </c>
    </row>
    <row r="197" spans="1:7" x14ac:dyDescent="0.2">
      <c r="A197" s="9" t="s">
        <v>1484</v>
      </c>
      <c r="B197" s="9">
        <v>21</v>
      </c>
      <c r="C197" s="9">
        <v>550</v>
      </c>
      <c r="D197" s="9">
        <v>1600</v>
      </c>
      <c r="E197" s="14" t="s">
        <v>1485</v>
      </c>
      <c r="F197" s="15">
        <v>213.38</v>
      </c>
      <c r="G197" s="11">
        <f>(Compact)*213.38</f>
        <v>213.38</v>
      </c>
    </row>
    <row r="198" spans="1:7" x14ac:dyDescent="0.2">
      <c r="A198" s="9" t="s">
        <v>1486</v>
      </c>
      <c r="B198" s="9">
        <v>21</v>
      </c>
      <c r="C198" s="9">
        <v>550</v>
      </c>
      <c r="D198" s="9">
        <v>1800</v>
      </c>
      <c r="E198" s="14" t="s">
        <v>1487</v>
      </c>
      <c r="F198" s="15">
        <v>235.61</v>
      </c>
      <c r="G198" s="11">
        <f>(Compact)*235.61</f>
        <v>235.61</v>
      </c>
    </row>
    <row r="199" spans="1:7" x14ac:dyDescent="0.2">
      <c r="A199" s="9" t="s">
        <v>1488</v>
      </c>
      <c r="B199" s="9">
        <v>21</v>
      </c>
      <c r="C199" s="9">
        <v>550</v>
      </c>
      <c r="D199" s="9">
        <v>2000</v>
      </c>
      <c r="E199" s="14" t="s">
        <v>1489</v>
      </c>
      <c r="F199" s="15">
        <v>257.89999999999998</v>
      </c>
      <c r="G199" s="11">
        <f>(Compact)*257.9</f>
        <v>257.89999999999998</v>
      </c>
    </row>
    <row r="200" spans="1:7" x14ac:dyDescent="0.2">
      <c r="A200" s="9" t="s">
        <v>1490</v>
      </c>
      <c r="B200" s="9">
        <v>21</v>
      </c>
      <c r="C200" s="9">
        <v>550</v>
      </c>
      <c r="D200" s="9">
        <v>2300</v>
      </c>
      <c r="E200" s="14" t="s">
        <v>1491</v>
      </c>
      <c r="F200" s="15">
        <v>291.69</v>
      </c>
      <c r="G200" s="11">
        <f>(Compact)*291.69</f>
        <v>291.69</v>
      </c>
    </row>
    <row r="201" spans="1:7" x14ac:dyDescent="0.2">
      <c r="A201" s="9" t="s">
        <v>1492</v>
      </c>
      <c r="B201" s="9">
        <v>21</v>
      </c>
      <c r="C201" s="9">
        <v>550</v>
      </c>
      <c r="D201" s="9">
        <v>2600</v>
      </c>
      <c r="E201" s="14" t="s">
        <v>1493</v>
      </c>
      <c r="F201" s="15">
        <v>325.20999999999998</v>
      </c>
      <c r="G201" s="11">
        <f>(Compact)*325.21</f>
        <v>325.20999999999998</v>
      </c>
    </row>
    <row r="202" spans="1:7" x14ac:dyDescent="0.2">
      <c r="A202" s="9" t="s">
        <v>1494</v>
      </c>
      <c r="B202" s="9">
        <v>21</v>
      </c>
      <c r="C202" s="9">
        <v>550</v>
      </c>
      <c r="D202" s="9">
        <v>3000</v>
      </c>
      <c r="E202" s="14" t="s">
        <v>1495</v>
      </c>
      <c r="F202" s="15">
        <v>369.76</v>
      </c>
      <c r="G202" s="11">
        <f>(Compact)*369.76</f>
        <v>369.76</v>
      </c>
    </row>
    <row r="203" spans="1:7" x14ac:dyDescent="0.2">
      <c r="A203" s="9" t="s">
        <v>1496</v>
      </c>
      <c r="B203" s="9">
        <v>21</v>
      </c>
      <c r="C203" s="9">
        <v>600</v>
      </c>
      <c r="D203" s="9">
        <v>400</v>
      </c>
      <c r="E203" s="14" t="s">
        <v>1497</v>
      </c>
      <c r="F203" s="15">
        <v>82.54</v>
      </c>
      <c r="G203" s="11">
        <f>(Compact)*82.54</f>
        <v>82.54</v>
      </c>
    </row>
    <row r="204" spans="1:7" x14ac:dyDescent="0.2">
      <c r="A204" s="9" t="s">
        <v>1498</v>
      </c>
      <c r="B204" s="9">
        <v>21</v>
      </c>
      <c r="C204" s="9">
        <v>600</v>
      </c>
      <c r="D204" s="9">
        <v>500</v>
      </c>
      <c r="E204" s="14" t="s">
        <v>1499</v>
      </c>
      <c r="F204" s="15">
        <v>93.18</v>
      </c>
      <c r="G204" s="11">
        <f>(Compact)*93.18</f>
        <v>93.18</v>
      </c>
    </row>
    <row r="205" spans="1:7" x14ac:dyDescent="0.2">
      <c r="A205" s="9" t="s">
        <v>1500</v>
      </c>
      <c r="B205" s="9">
        <v>21</v>
      </c>
      <c r="C205" s="9">
        <v>600</v>
      </c>
      <c r="D205" s="9">
        <v>600</v>
      </c>
      <c r="E205" s="14" t="s">
        <v>1501</v>
      </c>
      <c r="F205" s="15">
        <v>104.56</v>
      </c>
      <c r="G205" s="11">
        <f>(Compact)*104.56</f>
        <v>104.56</v>
      </c>
    </row>
    <row r="206" spans="1:7" x14ac:dyDescent="0.2">
      <c r="A206" s="9" t="s">
        <v>1502</v>
      </c>
      <c r="B206" s="9">
        <v>21</v>
      </c>
      <c r="C206" s="9">
        <v>600</v>
      </c>
      <c r="D206" s="9">
        <v>700</v>
      </c>
      <c r="E206" s="14" t="s">
        <v>1503</v>
      </c>
      <c r="F206" s="15">
        <v>116.15</v>
      </c>
      <c r="G206" s="11">
        <f>(Compact)*116.15</f>
        <v>116.15</v>
      </c>
    </row>
    <row r="207" spans="1:7" x14ac:dyDescent="0.2">
      <c r="A207" s="9" t="s">
        <v>1504</v>
      </c>
      <c r="B207" s="9">
        <v>21</v>
      </c>
      <c r="C207" s="9">
        <v>600</v>
      </c>
      <c r="D207" s="9">
        <v>800</v>
      </c>
      <c r="E207" s="14" t="s">
        <v>1505</v>
      </c>
      <c r="F207" s="15">
        <v>127.82</v>
      </c>
      <c r="G207" s="11">
        <f>(Compact)*127.82</f>
        <v>127.82</v>
      </c>
    </row>
    <row r="208" spans="1:7" x14ac:dyDescent="0.2">
      <c r="A208" s="9" t="s">
        <v>1506</v>
      </c>
      <c r="B208" s="9">
        <v>21</v>
      </c>
      <c r="C208" s="9">
        <v>600</v>
      </c>
      <c r="D208" s="9">
        <v>900</v>
      </c>
      <c r="E208" s="14" t="s">
        <v>1507</v>
      </c>
      <c r="F208" s="15">
        <v>139.72</v>
      </c>
      <c r="G208" s="11">
        <f>(Compact)*139.72</f>
        <v>139.72</v>
      </c>
    </row>
    <row r="209" spans="1:7" x14ac:dyDescent="0.2">
      <c r="A209" s="9" t="s">
        <v>1508</v>
      </c>
      <c r="B209" s="9">
        <v>21</v>
      </c>
      <c r="C209" s="9">
        <v>600</v>
      </c>
      <c r="D209" s="9">
        <v>1000</v>
      </c>
      <c r="E209" s="14" t="s">
        <v>1509</v>
      </c>
      <c r="F209" s="15">
        <v>151.29</v>
      </c>
      <c r="G209" s="11">
        <f>(Compact)*151.29</f>
        <v>151.29</v>
      </c>
    </row>
    <row r="210" spans="1:7" x14ac:dyDescent="0.2">
      <c r="A210" s="9" t="s">
        <v>1510</v>
      </c>
      <c r="B210" s="9">
        <v>21</v>
      </c>
      <c r="C210" s="9">
        <v>600</v>
      </c>
      <c r="D210" s="9">
        <v>1100</v>
      </c>
      <c r="E210" s="14" t="s">
        <v>1511</v>
      </c>
      <c r="F210" s="15">
        <v>163.15</v>
      </c>
      <c r="G210" s="11">
        <f>(Compact)*163.15</f>
        <v>163.15</v>
      </c>
    </row>
    <row r="211" spans="1:7" x14ac:dyDescent="0.2">
      <c r="A211" s="9" t="s">
        <v>1512</v>
      </c>
      <c r="B211" s="9">
        <v>21</v>
      </c>
      <c r="C211" s="9">
        <v>600</v>
      </c>
      <c r="D211" s="9">
        <v>1200</v>
      </c>
      <c r="E211" s="14" t="s">
        <v>1513</v>
      </c>
      <c r="F211" s="15">
        <v>174.25</v>
      </c>
      <c r="G211" s="11">
        <f>(Compact)*174.25</f>
        <v>174.25</v>
      </c>
    </row>
    <row r="212" spans="1:7" x14ac:dyDescent="0.2">
      <c r="A212" s="9" t="s">
        <v>1514</v>
      </c>
      <c r="B212" s="9">
        <v>21</v>
      </c>
      <c r="C212" s="9">
        <v>600</v>
      </c>
      <c r="D212" s="9">
        <v>1400</v>
      </c>
      <c r="E212" s="14" t="s">
        <v>1515</v>
      </c>
      <c r="F212" s="15">
        <v>197.72</v>
      </c>
      <c r="G212" s="11">
        <f>(Compact)*197.72</f>
        <v>197.72</v>
      </c>
    </row>
    <row r="213" spans="1:7" x14ac:dyDescent="0.2">
      <c r="A213" s="9" t="s">
        <v>1516</v>
      </c>
      <c r="B213" s="9">
        <v>21</v>
      </c>
      <c r="C213" s="9">
        <v>600</v>
      </c>
      <c r="D213" s="9">
        <v>1600</v>
      </c>
      <c r="E213" s="14" t="s">
        <v>1517</v>
      </c>
      <c r="F213" s="15">
        <v>220.98</v>
      </c>
      <c r="G213" s="11">
        <f>(Compact)*220.98</f>
        <v>220.98</v>
      </c>
    </row>
    <row r="214" spans="1:7" x14ac:dyDescent="0.2">
      <c r="A214" s="9" t="s">
        <v>1518</v>
      </c>
      <c r="B214" s="9">
        <v>21</v>
      </c>
      <c r="C214" s="9">
        <v>600</v>
      </c>
      <c r="D214" s="9">
        <v>1800</v>
      </c>
      <c r="E214" s="14" t="s">
        <v>1519</v>
      </c>
      <c r="F214" s="15">
        <v>244.24</v>
      </c>
      <c r="G214" s="11">
        <f>(Compact)*244.24</f>
        <v>244.24</v>
      </c>
    </row>
    <row r="215" spans="1:7" x14ac:dyDescent="0.2">
      <c r="A215" s="9" t="s">
        <v>1520</v>
      </c>
      <c r="B215" s="9">
        <v>21</v>
      </c>
      <c r="C215" s="9">
        <v>600</v>
      </c>
      <c r="D215" s="9">
        <v>2000</v>
      </c>
      <c r="E215" s="14" t="s">
        <v>1521</v>
      </c>
      <c r="F215" s="15">
        <v>267.7</v>
      </c>
      <c r="G215" s="11">
        <f>(Compact)*267.7</f>
        <v>267.7</v>
      </c>
    </row>
    <row r="216" spans="1:7" x14ac:dyDescent="0.2">
      <c r="A216" s="9" t="s">
        <v>1522</v>
      </c>
      <c r="B216" s="9">
        <v>21</v>
      </c>
      <c r="C216" s="9">
        <v>600</v>
      </c>
      <c r="D216" s="9">
        <v>2300</v>
      </c>
      <c r="E216" s="14" t="s">
        <v>1523</v>
      </c>
      <c r="F216" s="15">
        <v>302.56</v>
      </c>
      <c r="G216" s="11">
        <f>(Compact)*302.56</f>
        <v>302.56</v>
      </c>
    </row>
    <row r="217" spans="1:7" x14ac:dyDescent="0.2">
      <c r="A217" s="9" t="s">
        <v>1524</v>
      </c>
      <c r="B217" s="9">
        <v>21</v>
      </c>
      <c r="C217" s="9">
        <v>600</v>
      </c>
      <c r="D217" s="9">
        <v>2600</v>
      </c>
      <c r="E217" s="14" t="s">
        <v>1525</v>
      </c>
      <c r="F217" s="15">
        <v>337.92</v>
      </c>
      <c r="G217" s="11">
        <f>(Compact)*337.92</f>
        <v>337.92</v>
      </c>
    </row>
    <row r="218" spans="1:7" x14ac:dyDescent="0.2">
      <c r="A218" s="9" t="s">
        <v>1526</v>
      </c>
      <c r="B218" s="9">
        <v>21</v>
      </c>
      <c r="C218" s="9">
        <v>600</v>
      </c>
      <c r="D218" s="9">
        <v>3000</v>
      </c>
      <c r="E218" s="14" t="s">
        <v>1527</v>
      </c>
      <c r="F218" s="15">
        <v>384.33</v>
      </c>
      <c r="G218" s="11">
        <f>(Compact)*384.33</f>
        <v>384.33</v>
      </c>
    </row>
    <row r="219" spans="1:7" x14ac:dyDescent="0.2">
      <c r="A219" s="9" t="s">
        <v>1528</v>
      </c>
      <c r="B219" s="9">
        <v>21</v>
      </c>
      <c r="C219" s="9">
        <v>900</v>
      </c>
      <c r="D219" s="9">
        <v>400</v>
      </c>
      <c r="E219" s="14" t="s">
        <v>1529</v>
      </c>
      <c r="F219" s="15">
        <v>116.64</v>
      </c>
      <c r="G219" s="11">
        <f>(Compact)*116.64</f>
        <v>116.64</v>
      </c>
    </row>
    <row r="220" spans="1:7" x14ac:dyDescent="0.2">
      <c r="A220" s="9" t="s">
        <v>1530</v>
      </c>
      <c r="B220" s="9">
        <v>21</v>
      </c>
      <c r="C220" s="9">
        <v>900</v>
      </c>
      <c r="D220" s="9">
        <v>500</v>
      </c>
      <c r="E220" s="14" t="s">
        <v>1531</v>
      </c>
      <c r="F220" s="15">
        <v>131.72999999999999</v>
      </c>
      <c r="G220" s="11">
        <f>(Compact)*131.73</f>
        <v>131.72999999999999</v>
      </c>
    </row>
    <row r="221" spans="1:7" x14ac:dyDescent="0.2">
      <c r="A221" s="9" t="s">
        <v>1532</v>
      </c>
      <c r="B221" s="9">
        <v>21</v>
      </c>
      <c r="C221" s="9">
        <v>900</v>
      </c>
      <c r="D221" s="9">
        <v>600</v>
      </c>
      <c r="E221" s="14" t="s">
        <v>1533</v>
      </c>
      <c r="F221" s="15">
        <v>147.19</v>
      </c>
      <c r="G221" s="11">
        <f>(Compact)*147.19</f>
        <v>147.19</v>
      </c>
    </row>
    <row r="222" spans="1:7" x14ac:dyDescent="0.2">
      <c r="A222" s="9" t="s">
        <v>1534</v>
      </c>
      <c r="B222" s="9">
        <v>21</v>
      </c>
      <c r="C222" s="9">
        <v>900</v>
      </c>
      <c r="D222" s="9">
        <v>700</v>
      </c>
      <c r="E222" s="14" t="s">
        <v>1535</v>
      </c>
      <c r="F222" s="15">
        <v>167.04</v>
      </c>
      <c r="G222" s="11">
        <f>(Compact)*167.04</f>
        <v>167.04</v>
      </c>
    </row>
    <row r="223" spans="1:7" x14ac:dyDescent="0.2">
      <c r="A223" s="9" t="s">
        <v>1536</v>
      </c>
      <c r="B223" s="9">
        <v>21</v>
      </c>
      <c r="C223" s="9">
        <v>900</v>
      </c>
      <c r="D223" s="9">
        <v>800</v>
      </c>
      <c r="E223" s="14" t="s">
        <v>1537</v>
      </c>
      <c r="F223" s="15">
        <v>186.32</v>
      </c>
      <c r="G223" s="11">
        <f>(Compact)*186.32</f>
        <v>186.32</v>
      </c>
    </row>
    <row r="224" spans="1:7" x14ac:dyDescent="0.2">
      <c r="A224" s="9" t="s">
        <v>1538</v>
      </c>
      <c r="B224" s="9">
        <v>21</v>
      </c>
      <c r="C224" s="9">
        <v>900</v>
      </c>
      <c r="D224" s="9">
        <v>900</v>
      </c>
      <c r="E224" s="14" t="s">
        <v>1539</v>
      </c>
      <c r="F224" s="15">
        <v>205.99</v>
      </c>
      <c r="G224" s="11">
        <f>(Compact)*205.99</f>
        <v>205.99</v>
      </c>
    </row>
    <row r="225" spans="1:7" x14ac:dyDescent="0.2">
      <c r="A225" s="9" t="s">
        <v>1540</v>
      </c>
      <c r="B225" s="9">
        <v>21</v>
      </c>
      <c r="C225" s="9">
        <v>900</v>
      </c>
      <c r="D225" s="9">
        <v>1000</v>
      </c>
      <c r="E225" s="14" t="s">
        <v>1541</v>
      </c>
      <c r="F225" s="15">
        <v>225.38</v>
      </c>
      <c r="G225" s="11">
        <f>(Compact)*225.38</f>
        <v>225.38</v>
      </c>
    </row>
    <row r="226" spans="1:7" x14ac:dyDescent="0.2">
      <c r="A226" s="9" t="s">
        <v>1542</v>
      </c>
      <c r="B226" s="9">
        <v>21</v>
      </c>
      <c r="C226" s="9">
        <v>900</v>
      </c>
      <c r="D226" s="9">
        <v>1100</v>
      </c>
      <c r="E226" s="14" t="s">
        <v>1543</v>
      </c>
      <c r="F226" s="15">
        <v>245.73</v>
      </c>
      <c r="G226" s="11">
        <f>(Compact)*245.73</f>
        <v>245.73</v>
      </c>
    </row>
    <row r="227" spans="1:7" x14ac:dyDescent="0.2">
      <c r="A227" s="9" t="s">
        <v>1544</v>
      </c>
      <c r="B227" s="9">
        <v>21</v>
      </c>
      <c r="C227" s="9">
        <v>900</v>
      </c>
      <c r="D227" s="9">
        <v>1200</v>
      </c>
      <c r="E227" s="14" t="s">
        <v>1545</v>
      </c>
      <c r="F227" s="15">
        <v>264.58999999999997</v>
      </c>
      <c r="G227" s="11">
        <f>(Compact)*264.59</f>
        <v>264.58999999999997</v>
      </c>
    </row>
    <row r="228" spans="1:7" x14ac:dyDescent="0.2">
      <c r="A228" s="9" t="s">
        <v>1546</v>
      </c>
      <c r="B228" s="9">
        <v>21</v>
      </c>
      <c r="C228" s="9">
        <v>900</v>
      </c>
      <c r="D228" s="9">
        <v>1400</v>
      </c>
      <c r="E228" s="14" t="s">
        <v>1547</v>
      </c>
      <c r="F228" s="15">
        <v>303.72000000000003</v>
      </c>
      <c r="G228" s="11">
        <f>(Compact)*303.72</f>
        <v>303.72000000000003</v>
      </c>
    </row>
    <row r="229" spans="1:7" x14ac:dyDescent="0.2">
      <c r="A229" s="9" t="s">
        <v>1548</v>
      </c>
      <c r="B229" s="9">
        <v>21</v>
      </c>
      <c r="C229" s="9">
        <v>900</v>
      </c>
      <c r="D229" s="9">
        <v>1600</v>
      </c>
      <c r="E229" s="14" t="s">
        <v>1549</v>
      </c>
      <c r="F229" s="15">
        <v>342.97</v>
      </c>
      <c r="G229" s="11">
        <f>(Compact)*342.97</f>
        <v>342.97</v>
      </c>
    </row>
    <row r="230" spans="1:7" x14ac:dyDescent="0.2">
      <c r="A230" s="9" t="s">
        <v>1550</v>
      </c>
      <c r="B230" s="9">
        <v>21</v>
      </c>
      <c r="C230" s="9">
        <v>900</v>
      </c>
      <c r="D230" s="9">
        <v>1800</v>
      </c>
      <c r="E230" s="14" t="s">
        <v>1551</v>
      </c>
      <c r="F230" s="15">
        <v>381.71</v>
      </c>
      <c r="G230" s="11">
        <f>(Compact)*381.71</f>
        <v>381.71</v>
      </c>
    </row>
    <row r="231" spans="1:7" x14ac:dyDescent="0.2">
      <c r="A231" s="9" t="s">
        <v>1552</v>
      </c>
      <c r="B231" s="9">
        <v>21</v>
      </c>
      <c r="C231" s="9">
        <v>900</v>
      </c>
      <c r="D231" s="9">
        <v>2000</v>
      </c>
      <c r="E231" s="14" t="s">
        <v>1553</v>
      </c>
      <c r="F231" s="15">
        <v>421.62</v>
      </c>
      <c r="G231" s="11">
        <f>(Compact)*421.62</f>
        <v>421.62</v>
      </c>
    </row>
    <row r="232" spans="1:7" x14ac:dyDescent="0.2">
      <c r="A232" s="9" t="s">
        <v>1554</v>
      </c>
      <c r="B232" s="9">
        <v>21</v>
      </c>
      <c r="C232" s="9">
        <v>900</v>
      </c>
      <c r="D232" s="9">
        <v>2300</v>
      </c>
      <c r="E232" s="14" t="s">
        <v>1555</v>
      </c>
      <c r="F232" s="15">
        <v>476.15</v>
      </c>
      <c r="G232" s="11">
        <f>(Compact)*476.15</f>
        <v>476.15</v>
      </c>
    </row>
    <row r="233" spans="1:7" x14ac:dyDescent="0.2">
      <c r="A233" s="9" t="s">
        <v>1556</v>
      </c>
      <c r="B233" s="9">
        <v>21</v>
      </c>
      <c r="C233" s="9">
        <v>900</v>
      </c>
      <c r="D233" s="9">
        <v>2600</v>
      </c>
      <c r="E233" s="14" t="s">
        <v>1557</v>
      </c>
      <c r="F233" s="15">
        <v>529.38</v>
      </c>
      <c r="G233" s="11">
        <f>(Compact)*529.38</f>
        <v>529.38</v>
      </c>
    </row>
    <row r="234" spans="1:7" x14ac:dyDescent="0.2">
      <c r="A234" s="9" t="s">
        <v>1558</v>
      </c>
      <c r="B234" s="9">
        <v>21</v>
      </c>
      <c r="C234" s="9">
        <v>900</v>
      </c>
      <c r="D234" s="9">
        <v>3000</v>
      </c>
      <c r="E234" s="14" t="s">
        <v>1559</v>
      </c>
      <c r="F234" s="15">
        <v>601.23</v>
      </c>
      <c r="G234" s="11">
        <f>(Compact)*601.23</f>
        <v>601.23</v>
      </c>
    </row>
    <row r="235" spans="1:7" x14ac:dyDescent="0.2">
      <c r="A235" s="9" t="s">
        <v>1560</v>
      </c>
      <c r="B235" s="9">
        <v>22</v>
      </c>
      <c r="C235" s="9">
        <v>300</v>
      </c>
      <c r="D235" s="9">
        <v>400</v>
      </c>
      <c r="E235" s="14" t="s">
        <v>1561</v>
      </c>
      <c r="F235" s="15">
        <v>63.38</v>
      </c>
      <c r="G235" s="11">
        <f>(Compact)*63.38</f>
        <v>63.38</v>
      </c>
    </row>
    <row r="236" spans="1:7" x14ac:dyDescent="0.2">
      <c r="A236" s="9" t="s">
        <v>1562</v>
      </c>
      <c r="B236" s="9">
        <v>22</v>
      </c>
      <c r="C236" s="9">
        <v>300</v>
      </c>
      <c r="D236" s="9">
        <v>500</v>
      </c>
      <c r="E236" s="14" t="s">
        <v>1563</v>
      </c>
      <c r="F236" s="15">
        <v>73.58</v>
      </c>
      <c r="G236" s="11">
        <f>(Compact)*73.58</f>
        <v>73.58</v>
      </c>
    </row>
    <row r="237" spans="1:7" x14ac:dyDescent="0.2">
      <c r="A237" s="9" t="s">
        <v>1564</v>
      </c>
      <c r="B237" s="9">
        <v>22</v>
      </c>
      <c r="C237" s="9">
        <v>300</v>
      </c>
      <c r="D237" s="9">
        <v>600</v>
      </c>
      <c r="E237" s="14" t="s">
        <v>1565</v>
      </c>
      <c r="F237" s="15">
        <v>82.27</v>
      </c>
      <c r="G237" s="11">
        <f>(Compact)*82.27</f>
        <v>82.27</v>
      </c>
    </row>
    <row r="238" spans="1:7" x14ac:dyDescent="0.2">
      <c r="A238" s="9" t="s">
        <v>1566</v>
      </c>
      <c r="B238" s="9">
        <v>22</v>
      </c>
      <c r="C238" s="9">
        <v>300</v>
      </c>
      <c r="D238" s="9">
        <v>700</v>
      </c>
      <c r="E238" s="14" t="s">
        <v>1567</v>
      </c>
      <c r="F238" s="15">
        <v>90.06</v>
      </c>
      <c r="G238" s="11">
        <f>(Compact)*90.06</f>
        <v>90.06</v>
      </c>
    </row>
    <row r="239" spans="1:7" x14ac:dyDescent="0.2">
      <c r="A239" s="9" t="s">
        <v>1568</v>
      </c>
      <c r="B239" s="9">
        <v>22</v>
      </c>
      <c r="C239" s="9">
        <v>300</v>
      </c>
      <c r="D239" s="9">
        <v>800</v>
      </c>
      <c r="E239" s="14" t="s">
        <v>1569</v>
      </c>
      <c r="F239" s="15">
        <v>97.74</v>
      </c>
      <c r="G239" s="11">
        <f>(Compact)*97.74</f>
        <v>97.74</v>
      </c>
    </row>
    <row r="240" spans="1:7" x14ac:dyDescent="0.2">
      <c r="A240" s="9" t="s">
        <v>1570</v>
      </c>
      <c r="B240" s="9">
        <v>22</v>
      </c>
      <c r="C240" s="9">
        <v>300</v>
      </c>
      <c r="D240" s="9">
        <v>900</v>
      </c>
      <c r="E240" s="14" t="s">
        <v>1571</v>
      </c>
      <c r="F240" s="15">
        <v>105.55</v>
      </c>
      <c r="G240" s="11">
        <f>(Compact)*105.55</f>
        <v>105.55</v>
      </c>
    </row>
    <row r="241" spans="1:7" x14ac:dyDescent="0.2">
      <c r="A241" s="9" t="s">
        <v>1572</v>
      </c>
      <c r="B241" s="9">
        <v>22</v>
      </c>
      <c r="C241" s="9">
        <v>300</v>
      </c>
      <c r="D241" s="9">
        <v>1000</v>
      </c>
      <c r="E241" s="14" t="s">
        <v>1573</v>
      </c>
      <c r="F241" s="15">
        <v>113.01</v>
      </c>
      <c r="G241" s="11">
        <f>(Compact)*113.01</f>
        <v>113.01</v>
      </c>
    </row>
    <row r="242" spans="1:7" x14ac:dyDescent="0.2">
      <c r="A242" s="9" t="s">
        <v>1574</v>
      </c>
      <c r="B242" s="9">
        <v>22</v>
      </c>
      <c r="C242" s="9">
        <v>300</v>
      </c>
      <c r="D242" s="9">
        <v>1100</v>
      </c>
      <c r="E242" s="14" t="s">
        <v>1575</v>
      </c>
      <c r="F242" s="15">
        <v>120.8</v>
      </c>
      <c r="G242" s="11">
        <f>(Compact)*120.8</f>
        <v>120.8</v>
      </c>
    </row>
    <row r="243" spans="1:7" x14ac:dyDescent="0.2">
      <c r="A243" s="9" t="s">
        <v>1576</v>
      </c>
      <c r="B243" s="9">
        <v>22</v>
      </c>
      <c r="C243" s="9">
        <v>300</v>
      </c>
      <c r="D243" s="9">
        <v>1200</v>
      </c>
      <c r="E243" s="14" t="s">
        <v>1577</v>
      </c>
      <c r="F243" s="15">
        <v>127.82</v>
      </c>
      <c r="G243" s="11">
        <f>(Compact)*127.82</f>
        <v>127.82</v>
      </c>
    </row>
    <row r="244" spans="1:7" x14ac:dyDescent="0.2">
      <c r="A244" s="9" t="s">
        <v>1578</v>
      </c>
      <c r="B244" s="9">
        <v>22</v>
      </c>
      <c r="C244" s="9">
        <v>300</v>
      </c>
      <c r="D244" s="9">
        <v>1400</v>
      </c>
      <c r="E244" s="14" t="s">
        <v>1579</v>
      </c>
      <c r="F244" s="15">
        <v>143.31</v>
      </c>
      <c r="G244" s="11">
        <f>(Compact)*143.31</f>
        <v>143.31</v>
      </c>
    </row>
    <row r="245" spans="1:7" x14ac:dyDescent="0.2">
      <c r="A245" s="9" t="s">
        <v>1580</v>
      </c>
      <c r="B245" s="9">
        <v>22</v>
      </c>
      <c r="C245" s="9">
        <v>300</v>
      </c>
      <c r="D245" s="9">
        <v>1600</v>
      </c>
      <c r="E245" s="14" t="s">
        <v>1581</v>
      </c>
      <c r="F245" s="15">
        <v>158.57</v>
      </c>
      <c r="G245" s="11">
        <f>(Compact)*158.57</f>
        <v>158.57</v>
      </c>
    </row>
    <row r="246" spans="1:7" x14ac:dyDescent="0.2">
      <c r="A246" s="9" t="s">
        <v>1582</v>
      </c>
      <c r="B246" s="9">
        <v>22</v>
      </c>
      <c r="C246" s="9">
        <v>300</v>
      </c>
      <c r="D246" s="9">
        <v>1800</v>
      </c>
      <c r="E246" s="14" t="s">
        <v>1583</v>
      </c>
      <c r="F246" s="15">
        <v>173.58</v>
      </c>
      <c r="G246" s="11">
        <f>(Compact)*173.58</f>
        <v>173.58</v>
      </c>
    </row>
    <row r="247" spans="1:7" x14ac:dyDescent="0.2">
      <c r="A247" s="9" t="s">
        <v>1584</v>
      </c>
      <c r="B247" s="9">
        <v>22</v>
      </c>
      <c r="C247" s="9">
        <v>300</v>
      </c>
      <c r="D247" s="9">
        <v>2000</v>
      </c>
      <c r="E247" s="14" t="s">
        <v>1585</v>
      </c>
      <c r="F247" s="15">
        <v>188.77</v>
      </c>
      <c r="G247" s="11">
        <f>(Compact)*188.77</f>
        <v>188.77</v>
      </c>
    </row>
    <row r="248" spans="1:7" x14ac:dyDescent="0.2">
      <c r="A248" s="9" t="s">
        <v>1586</v>
      </c>
      <c r="B248" s="9">
        <v>22</v>
      </c>
      <c r="C248" s="9">
        <v>300</v>
      </c>
      <c r="D248" s="9">
        <v>2300</v>
      </c>
      <c r="E248" s="14" t="s">
        <v>1587</v>
      </c>
      <c r="F248" s="15">
        <v>211.33</v>
      </c>
      <c r="G248" s="11">
        <f>(Compact)*211.33</f>
        <v>211.33</v>
      </c>
    </row>
    <row r="249" spans="1:7" x14ac:dyDescent="0.2">
      <c r="A249" s="9" t="s">
        <v>1588</v>
      </c>
      <c r="B249" s="9">
        <v>22</v>
      </c>
      <c r="C249" s="9">
        <v>300</v>
      </c>
      <c r="D249" s="9">
        <v>2600</v>
      </c>
      <c r="E249" s="14" t="s">
        <v>1589</v>
      </c>
      <c r="F249" s="15">
        <v>234.53</v>
      </c>
      <c r="G249" s="11">
        <f>(Compact)*234.53</f>
        <v>234.53</v>
      </c>
    </row>
    <row r="250" spans="1:7" x14ac:dyDescent="0.2">
      <c r="A250" s="9" t="s">
        <v>1590</v>
      </c>
      <c r="B250" s="9">
        <v>22</v>
      </c>
      <c r="C250" s="9">
        <v>300</v>
      </c>
      <c r="D250" s="9">
        <v>3000</v>
      </c>
      <c r="E250" s="14" t="s">
        <v>1591</v>
      </c>
      <c r="F250" s="15">
        <v>264.79000000000002</v>
      </c>
      <c r="G250" s="11">
        <f>(Compact)*264.79</f>
        <v>264.79000000000002</v>
      </c>
    </row>
    <row r="251" spans="1:7" x14ac:dyDescent="0.2">
      <c r="A251" s="9" t="s">
        <v>1592</v>
      </c>
      <c r="B251" s="9">
        <v>22</v>
      </c>
      <c r="C251" s="9">
        <v>400</v>
      </c>
      <c r="D251" s="9">
        <v>400</v>
      </c>
      <c r="E251" s="14" t="s">
        <v>1593</v>
      </c>
      <c r="F251" s="15">
        <v>70.16</v>
      </c>
      <c r="G251" s="11">
        <f>(Compact)*70.16</f>
        <v>70.16</v>
      </c>
    </row>
    <row r="252" spans="1:7" x14ac:dyDescent="0.2">
      <c r="A252" s="9" t="s">
        <v>1594</v>
      </c>
      <c r="B252" s="9">
        <v>22</v>
      </c>
      <c r="C252" s="9">
        <v>400</v>
      </c>
      <c r="D252" s="9">
        <v>500</v>
      </c>
      <c r="E252" s="14" t="s">
        <v>1595</v>
      </c>
      <c r="F252" s="15">
        <v>79.819999999999993</v>
      </c>
      <c r="G252" s="11">
        <f>(Compact)*79.82</f>
        <v>79.819999999999993</v>
      </c>
    </row>
    <row r="253" spans="1:7" x14ac:dyDescent="0.2">
      <c r="A253" s="9" t="s">
        <v>1596</v>
      </c>
      <c r="B253" s="9">
        <v>22</v>
      </c>
      <c r="C253" s="9">
        <v>400</v>
      </c>
      <c r="D253" s="9">
        <v>600</v>
      </c>
      <c r="E253" s="14" t="s">
        <v>1597</v>
      </c>
      <c r="F253" s="15">
        <v>89.08</v>
      </c>
      <c r="G253" s="11">
        <f>(Compact)*89.08</f>
        <v>89.08</v>
      </c>
    </row>
    <row r="254" spans="1:7" x14ac:dyDescent="0.2">
      <c r="A254" s="9" t="s">
        <v>1598</v>
      </c>
      <c r="B254" s="9">
        <v>22</v>
      </c>
      <c r="C254" s="9">
        <v>400</v>
      </c>
      <c r="D254" s="9">
        <v>700</v>
      </c>
      <c r="E254" s="14" t="s">
        <v>1599</v>
      </c>
      <c r="F254" s="15">
        <v>98.25</v>
      </c>
      <c r="G254" s="11">
        <f>(Compact)*98.25</f>
        <v>98.25</v>
      </c>
    </row>
    <row r="255" spans="1:7" x14ac:dyDescent="0.2">
      <c r="A255" s="9" t="s">
        <v>1600</v>
      </c>
      <c r="B255" s="9">
        <v>22</v>
      </c>
      <c r="C255" s="9">
        <v>400</v>
      </c>
      <c r="D255" s="9">
        <v>800</v>
      </c>
      <c r="E255" s="14" t="s">
        <v>1601</v>
      </c>
      <c r="F255" s="15">
        <v>107.18</v>
      </c>
      <c r="G255" s="11">
        <f>(Compact)*107.18</f>
        <v>107.18</v>
      </c>
    </row>
    <row r="256" spans="1:7" x14ac:dyDescent="0.2">
      <c r="A256" s="9" t="s">
        <v>1602</v>
      </c>
      <c r="B256" s="9">
        <v>22</v>
      </c>
      <c r="C256" s="9">
        <v>400</v>
      </c>
      <c r="D256" s="9">
        <v>900</v>
      </c>
      <c r="E256" s="14" t="s">
        <v>1603</v>
      </c>
      <c r="F256" s="15">
        <v>116.64</v>
      </c>
      <c r="G256" s="11">
        <f>(Compact)*116.64</f>
        <v>116.64</v>
      </c>
    </row>
    <row r="257" spans="1:7" x14ac:dyDescent="0.2">
      <c r="A257" s="9" t="s">
        <v>1604</v>
      </c>
      <c r="B257" s="9">
        <v>22</v>
      </c>
      <c r="C257" s="9">
        <v>400</v>
      </c>
      <c r="D257" s="9">
        <v>1000</v>
      </c>
      <c r="E257" s="14" t="s">
        <v>1605</v>
      </c>
      <c r="F257" s="15">
        <v>125.59</v>
      </c>
      <c r="G257" s="11">
        <f>(Compact)*125.59</f>
        <v>125.59</v>
      </c>
    </row>
    <row r="258" spans="1:7" x14ac:dyDescent="0.2">
      <c r="A258" s="9" t="s">
        <v>1606</v>
      </c>
      <c r="B258" s="9">
        <v>22</v>
      </c>
      <c r="C258" s="9">
        <v>400</v>
      </c>
      <c r="D258" s="9">
        <v>1100</v>
      </c>
      <c r="E258" s="14" t="s">
        <v>1607</v>
      </c>
      <c r="F258" s="15">
        <v>135.33000000000001</v>
      </c>
      <c r="G258" s="11">
        <f>(Compact)*135.33</f>
        <v>135.33000000000001</v>
      </c>
    </row>
    <row r="259" spans="1:7" x14ac:dyDescent="0.2">
      <c r="A259" s="9" t="s">
        <v>1608</v>
      </c>
      <c r="B259" s="9">
        <v>22</v>
      </c>
      <c r="C259" s="9">
        <v>400</v>
      </c>
      <c r="D259" s="9">
        <v>1200</v>
      </c>
      <c r="E259" s="14" t="s">
        <v>1609</v>
      </c>
      <c r="F259" s="15">
        <v>144.47999999999999</v>
      </c>
      <c r="G259" s="11">
        <f>(Compact)*144.48</f>
        <v>144.47999999999999</v>
      </c>
    </row>
    <row r="260" spans="1:7" x14ac:dyDescent="0.2">
      <c r="A260" s="9" t="s">
        <v>1610</v>
      </c>
      <c r="B260" s="9">
        <v>22</v>
      </c>
      <c r="C260" s="9">
        <v>400</v>
      </c>
      <c r="D260" s="9">
        <v>1400</v>
      </c>
      <c r="E260" s="14" t="s">
        <v>1611</v>
      </c>
      <c r="F260" s="15">
        <v>163.15</v>
      </c>
      <c r="G260" s="11">
        <f>(Compact)*163.15</f>
        <v>163.15</v>
      </c>
    </row>
    <row r="261" spans="1:7" x14ac:dyDescent="0.2">
      <c r="A261" s="9" t="s">
        <v>1612</v>
      </c>
      <c r="B261" s="9">
        <v>22</v>
      </c>
      <c r="C261" s="9">
        <v>400</v>
      </c>
      <c r="D261" s="9">
        <v>1600</v>
      </c>
      <c r="E261" s="14" t="s">
        <v>1613</v>
      </c>
      <c r="F261" s="15">
        <v>181.27</v>
      </c>
      <c r="G261" s="11">
        <f>(Compact)*181.27</f>
        <v>181.27</v>
      </c>
    </row>
    <row r="262" spans="1:7" x14ac:dyDescent="0.2">
      <c r="A262" s="9" t="s">
        <v>1614</v>
      </c>
      <c r="B262" s="9">
        <v>22</v>
      </c>
      <c r="C262" s="9">
        <v>400</v>
      </c>
      <c r="D262" s="9">
        <v>1800</v>
      </c>
      <c r="E262" s="14" t="s">
        <v>1615</v>
      </c>
      <c r="F262" s="15">
        <v>199.96</v>
      </c>
      <c r="G262" s="11">
        <f>(Compact)*199.96</f>
        <v>199.96</v>
      </c>
    </row>
    <row r="263" spans="1:7" x14ac:dyDescent="0.2">
      <c r="A263" s="9" t="s">
        <v>1616</v>
      </c>
      <c r="B263" s="9">
        <v>22</v>
      </c>
      <c r="C263" s="9">
        <v>400</v>
      </c>
      <c r="D263" s="9">
        <v>2000</v>
      </c>
      <c r="E263" s="14" t="s">
        <v>1617</v>
      </c>
      <c r="F263" s="15">
        <v>218.55</v>
      </c>
      <c r="G263" s="11">
        <f>(Compact)*218.55</f>
        <v>218.55</v>
      </c>
    </row>
    <row r="264" spans="1:7" x14ac:dyDescent="0.2">
      <c r="A264" s="9" t="s">
        <v>1618</v>
      </c>
      <c r="B264" s="9">
        <v>22</v>
      </c>
      <c r="C264" s="9">
        <v>400</v>
      </c>
      <c r="D264" s="9">
        <v>2300</v>
      </c>
      <c r="E264" s="14" t="s">
        <v>1619</v>
      </c>
      <c r="F264" s="15">
        <v>246.38</v>
      </c>
      <c r="G264" s="11">
        <f>(Compact)*246.38</f>
        <v>246.38</v>
      </c>
    </row>
    <row r="265" spans="1:7" x14ac:dyDescent="0.2">
      <c r="A265" s="9" t="s">
        <v>1620</v>
      </c>
      <c r="B265" s="9">
        <v>22</v>
      </c>
      <c r="C265" s="9">
        <v>400</v>
      </c>
      <c r="D265" s="9">
        <v>2600</v>
      </c>
      <c r="E265" s="14" t="s">
        <v>1621</v>
      </c>
      <c r="F265" s="15">
        <v>274.24</v>
      </c>
      <c r="G265" s="11">
        <f>(Compact)*274.24</f>
        <v>274.24</v>
      </c>
    </row>
    <row r="266" spans="1:7" x14ac:dyDescent="0.2">
      <c r="A266" s="9" t="s">
        <v>1622</v>
      </c>
      <c r="B266" s="9">
        <v>22</v>
      </c>
      <c r="C266" s="9">
        <v>400</v>
      </c>
      <c r="D266" s="9">
        <v>3000</v>
      </c>
      <c r="E266" s="14" t="s">
        <v>1623</v>
      </c>
      <c r="F266" s="15">
        <v>311.20999999999998</v>
      </c>
      <c r="G266" s="11">
        <f>(Compact)*311.21</f>
        <v>311.20999999999998</v>
      </c>
    </row>
    <row r="267" spans="1:7" x14ac:dyDescent="0.2">
      <c r="A267" s="9" t="s">
        <v>1624</v>
      </c>
      <c r="B267" s="9">
        <v>22</v>
      </c>
      <c r="C267" s="9">
        <v>450</v>
      </c>
      <c r="D267" s="9">
        <v>400</v>
      </c>
      <c r="E267" s="14" t="s">
        <v>1625</v>
      </c>
      <c r="F267" s="15">
        <v>76.72</v>
      </c>
      <c r="G267" s="11">
        <f>(Compact)*76.72</f>
        <v>76.72</v>
      </c>
    </row>
    <row r="268" spans="1:7" x14ac:dyDescent="0.2">
      <c r="A268" s="9" t="s">
        <v>1626</v>
      </c>
      <c r="B268" s="9">
        <v>22</v>
      </c>
      <c r="C268" s="9">
        <v>450</v>
      </c>
      <c r="D268" s="9">
        <v>500</v>
      </c>
      <c r="E268" s="14" t="s">
        <v>1627</v>
      </c>
      <c r="F268" s="15">
        <v>87.41</v>
      </c>
      <c r="G268" s="11">
        <f>(Compact)*87.41</f>
        <v>87.41</v>
      </c>
    </row>
    <row r="269" spans="1:7" x14ac:dyDescent="0.2">
      <c r="A269" s="9" t="s">
        <v>1628</v>
      </c>
      <c r="B269" s="9">
        <v>22</v>
      </c>
      <c r="C269" s="9">
        <v>450</v>
      </c>
      <c r="D269" s="9">
        <v>600</v>
      </c>
      <c r="E269" s="14" t="s">
        <v>1629</v>
      </c>
      <c r="F269" s="15">
        <v>97.24</v>
      </c>
      <c r="G269" s="11">
        <f>(Compact)*97.24</f>
        <v>97.24</v>
      </c>
    </row>
    <row r="270" spans="1:7" x14ac:dyDescent="0.2">
      <c r="A270" s="9" t="s">
        <v>1630</v>
      </c>
      <c r="B270" s="9">
        <v>22</v>
      </c>
      <c r="C270" s="9">
        <v>450</v>
      </c>
      <c r="D270" s="9">
        <v>700</v>
      </c>
      <c r="E270" s="14" t="s">
        <v>1631</v>
      </c>
      <c r="F270" s="15">
        <v>107.18</v>
      </c>
      <c r="G270" s="11">
        <f>(Compact)*107.18</f>
        <v>107.18</v>
      </c>
    </row>
    <row r="271" spans="1:7" x14ac:dyDescent="0.2">
      <c r="A271" s="9" t="s">
        <v>1632</v>
      </c>
      <c r="B271" s="9">
        <v>22</v>
      </c>
      <c r="C271" s="9">
        <v>450</v>
      </c>
      <c r="D271" s="9">
        <v>800</v>
      </c>
      <c r="E271" s="14" t="s">
        <v>1633</v>
      </c>
      <c r="F271" s="15">
        <v>116.92</v>
      </c>
      <c r="G271" s="11">
        <f>(Compact)*116.92</f>
        <v>116.92</v>
      </c>
    </row>
    <row r="272" spans="1:7" x14ac:dyDescent="0.2">
      <c r="A272" s="9" t="s">
        <v>1634</v>
      </c>
      <c r="B272" s="9">
        <v>22</v>
      </c>
      <c r="C272" s="9">
        <v>450</v>
      </c>
      <c r="D272" s="9">
        <v>900</v>
      </c>
      <c r="E272" s="14" t="s">
        <v>1635</v>
      </c>
      <c r="F272" s="15">
        <v>127.34</v>
      </c>
      <c r="G272" s="11">
        <f>(Compact)*127.34</f>
        <v>127.34</v>
      </c>
    </row>
    <row r="273" spans="1:7" x14ac:dyDescent="0.2">
      <c r="A273" s="9" t="s">
        <v>1636</v>
      </c>
      <c r="B273" s="9">
        <v>22</v>
      </c>
      <c r="C273" s="9">
        <v>450</v>
      </c>
      <c r="D273" s="9">
        <v>1000</v>
      </c>
      <c r="E273" s="14" t="s">
        <v>1637</v>
      </c>
      <c r="F273" s="15">
        <v>137.76</v>
      </c>
      <c r="G273" s="11">
        <f>(Compact)*137.76</f>
        <v>137.76</v>
      </c>
    </row>
    <row r="274" spans="1:7" x14ac:dyDescent="0.2">
      <c r="A274" s="9" t="s">
        <v>1638</v>
      </c>
      <c r="B274" s="9">
        <v>22</v>
      </c>
      <c r="C274" s="9">
        <v>450</v>
      </c>
      <c r="D274" s="9">
        <v>1100</v>
      </c>
      <c r="E274" s="14" t="s">
        <v>1639</v>
      </c>
      <c r="F274" s="15">
        <v>147.66999999999999</v>
      </c>
      <c r="G274" s="11">
        <f>(Compact)*147.67</f>
        <v>147.66999999999999</v>
      </c>
    </row>
    <row r="275" spans="1:7" x14ac:dyDescent="0.2">
      <c r="A275" s="9" t="s">
        <v>1640</v>
      </c>
      <c r="B275" s="9">
        <v>22</v>
      </c>
      <c r="C275" s="9">
        <v>450</v>
      </c>
      <c r="D275" s="9">
        <v>1200</v>
      </c>
      <c r="E275" s="14" t="s">
        <v>1641</v>
      </c>
      <c r="F275" s="15">
        <v>157.33000000000001</v>
      </c>
      <c r="G275" s="11">
        <f>(Compact)*157.33</f>
        <v>157.33000000000001</v>
      </c>
    </row>
    <row r="276" spans="1:7" x14ac:dyDescent="0.2">
      <c r="A276" s="9" t="s">
        <v>1642</v>
      </c>
      <c r="B276" s="9">
        <v>22</v>
      </c>
      <c r="C276" s="9">
        <v>450</v>
      </c>
      <c r="D276" s="9">
        <v>1400</v>
      </c>
      <c r="E276" s="14" t="s">
        <v>1643</v>
      </c>
      <c r="F276" s="15">
        <v>177.68</v>
      </c>
      <c r="G276" s="11">
        <f>(Compact)*177.68</f>
        <v>177.68</v>
      </c>
    </row>
    <row r="277" spans="1:7" x14ac:dyDescent="0.2">
      <c r="A277" s="9" t="s">
        <v>1644</v>
      </c>
      <c r="B277" s="9">
        <v>22</v>
      </c>
      <c r="C277" s="9">
        <v>450</v>
      </c>
      <c r="D277" s="9">
        <v>1600</v>
      </c>
      <c r="E277" s="14" t="s">
        <v>1645</v>
      </c>
      <c r="F277" s="15">
        <v>197.72</v>
      </c>
      <c r="G277" s="11">
        <f>(Compact)*197.72</f>
        <v>197.72</v>
      </c>
    </row>
    <row r="278" spans="1:7" x14ac:dyDescent="0.2">
      <c r="A278" s="9" t="s">
        <v>1646</v>
      </c>
      <c r="B278" s="9">
        <v>22</v>
      </c>
      <c r="C278" s="9">
        <v>450</v>
      </c>
      <c r="D278" s="9">
        <v>1800</v>
      </c>
      <c r="E278" s="14" t="s">
        <v>1647</v>
      </c>
      <c r="F278" s="15">
        <v>217.85</v>
      </c>
      <c r="G278" s="11">
        <f>(Compact)*217.85</f>
        <v>217.85</v>
      </c>
    </row>
    <row r="279" spans="1:7" x14ac:dyDescent="0.2">
      <c r="A279" s="9" t="s">
        <v>1648</v>
      </c>
      <c r="B279" s="9">
        <v>22</v>
      </c>
      <c r="C279" s="9">
        <v>450</v>
      </c>
      <c r="D279" s="9">
        <v>2000</v>
      </c>
      <c r="E279" s="14" t="s">
        <v>1649</v>
      </c>
      <c r="F279" s="15">
        <v>238.2</v>
      </c>
      <c r="G279" s="11">
        <f>(Compact)*238.2</f>
        <v>238.2</v>
      </c>
    </row>
    <row r="280" spans="1:7" x14ac:dyDescent="0.2">
      <c r="A280" s="9" t="s">
        <v>1650</v>
      </c>
      <c r="B280" s="9">
        <v>22</v>
      </c>
      <c r="C280" s="9">
        <v>450</v>
      </c>
      <c r="D280" s="9">
        <v>2300</v>
      </c>
      <c r="E280" s="14" t="s">
        <v>1651</v>
      </c>
      <c r="F280" s="15">
        <v>268.2</v>
      </c>
      <c r="G280" s="11">
        <f>(Compact)*268.2</f>
        <v>268.2</v>
      </c>
    </row>
    <row r="281" spans="1:7" x14ac:dyDescent="0.2">
      <c r="A281" s="9" t="s">
        <v>1652</v>
      </c>
      <c r="B281" s="9">
        <v>22</v>
      </c>
      <c r="C281" s="9">
        <v>450</v>
      </c>
      <c r="D281" s="9">
        <v>2600</v>
      </c>
      <c r="E281" s="14" t="s">
        <v>1653</v>
      </c>
      <c r="F281" s="15">
        <v>298.67</v>
      </c>
      <c r="G281" s="11">
        <f>(Compact)*298.67</f>
        <v>298.67</v>
      </c>
    </row>
    <row r="282" spans="1:7" x14ac:dyDescent="0.2">
      <c r="A282" s="9" t="s">
        <v>1654</v>
      </c>
      <c r="B282" s="9">
        <v>22</v>
      </c>
      <c r="C282" s="9">
        <v>450</v>
      </c>
      <c r="D282" s="9">
        <v>3000</v>
      </c>
      <c r="E282" s="14" t="s">
        <v>1655</v>
      </c>
      <c r="F282" s="15">
        <v>338.88</v>
      </c>
      <c r="G282" s="11">
        <f>(Compact)*338.88</f>
        <v>338.88</v>
      </c>
    </row>
    <row r="283" spans="1:7" x14ac:dyDescent="0.2">
      <c r="A283" s="9" t="s">
        <v>1656</v>
      </c>
      <c r="B283" s="9">
        <v>22</v>
      </c>
      <c r="C283" s="9">
        <v>500</v>
      </c>
      <c r="D283" s="9">
        <v>400</v>
      </c>
      <c r="E283" s="14" t="s">
        <v>1657</v>
      </c>
      <c r="F283" s="15">
        <v>82.74</v>
      </c>
      <c r="G283" s="11">
        <f>(Compact)*82.74</f>
        <v>82.74</v>
      </c>
    </row>
    <row r="284" spans="1:7" x14ac:dyDescent="0.2">
      <c r="A284" s="9" t="s">
        <v>1658</v>
      </c>
      <c r="B284" s="9">
        <v>22</v>
      </c>
      <c r="C284" s="9">
        <v>500</v>
      </c>
      <c r="D284" s="9">
        <v>500</v>
      </c>
      <c r="E284" s="14" t="s">
        <v>1659</v>
      </c>
      <c r="F284" s="15">
        <v>93.45</v>
      </c>
      <c r="G284" s="11">
        <f>(Compact)*93.45</f>
        <v>93.45</v>
      </c>
    </row>
    <row r="285" spans="1:7" x14ac:dyDescent="0.2">
      <c r="A285" s="9" t="s">
        <v>1660</v>
      </c>
      <c r="B285" s="9">
        <v>22</v>
      </c>
      <c r="C285" s="9">
        <v>500</v>
      </c>
      <c r="D285" s="9">
        <v>600</v>
      </c>
      <c r="E285" s="14" t="s">
        <v>1661</v>
      </c>
      <c r="F285" s="15">
        <v>104.83</v>
      </c>
      <c r="G285" s="11">
        <f>(Compact)*104.83</f>
        <v>104.83</v>
      </c>
    </row>
    <row r="286" spans="1:7" x14ac:dyDescent="0.2">
      <c r="A286" s="9" t="s">
        <v>1662</v>
      </c>
      <c r="B286" s="9">
        <v>22</v>
      </c>
      <c r="C286" s="9">
        <v>500</v>
      </c>
      <c r="D286" s="9">
        <v>700</v>
      </c>
      <c r="E286" s="14" t="s">
        <v>1663</v>
      </c>
      <c r="F286" s="15">
        <v>115.95</v>
      </c>
      <c r="G286" s="11">
        <f>(Compact)*115.95</f>
        <v>115.95</v>
      </c>
    </row>
    <row r="287" spans="1:7" x14ac:dyDescent="0.2">
      <c r="A287" s="9" t="s">
        <v>1664</v>
      </c>
      <c r="B287" s="9">
        <v>22</v>
      </c>
      <c r="C287" s="9">
        <v>500</v>
      </c>
      <c r="D287" s="9">
        <v>800</v>
      </c>
      <c r="E287" s="14" t="s">
        <v>1665</v>
      </c>
      <c r="F287" s="15">
        <v>127.05</v>
      </c>
      <c r="G287" s="11">
        <f>(Compact)*127.05</f>
        <v>127.05</v>
      </c>
    </row>
    <row r="288" spans="1:7" x14ac:dyDescent="0.2">
      <c r="A288" s="9" t="s">
        <v>1666</v>
      </c>
      <c r="B288" s="9">
        <v>22</v>
      </c>
      <c r="C288" s="9">
        <v>500</v>
      </c>
      <c r="D288" s="9">
        <v>900</v>
      </c>
      <c r="E288" s="14" t="s">
        <v>1667</v>
      </c>
      <c r="F288" s="15">
        <v>138.74</v>
      </c>
      <c r="G288" s="11">
        <f>(Compact)*138.74</f>
        <v>138.74</v>
      </c>
    </row>
    <row r="289" spans="1:7" x14ac:dyDescent="0.2">
      <c r="A289" s="9" t="s">
        <v>1668</v>
      </c>
      <c r="B289" s="9">
        <v>22</v>
      </c>
      <c r="C289" s="9">
        <v>500</v>
      </c>
      <c r="D289" s="9">
        <v>1000</v>
      </c>
      <c r="E289" s="14" t="s">
        <v>1669</v>
      </c>
      <c r="F289" s="15">
        <v>149.61000000000001</v>
      </c>
      <c r="G289" s="11">
        <f>(Compact)*149.61</f>
        <v>149.61000000000001</v>
      </c>
    </row>
    <row r="290" spans="1:7" x14ac:dyDescent="0.2">
      <c r="A290" s="9" t="s">
        <v>1670</v>
      </c>
      <c r="B290" s="9">
        <v>22</v>
      </c>
      <c r="C290" s="9">
        <v>500</v>
      </c>
      <c r="D290" s="9">
        <v>1100</v>
      </c>
      <c r="E290" s="14" t="s">
        <v>1671</v>
      </c>
      <c r="F290" s="15">
        <v>160.93</v>
      </c>
      <c r="G290" s="11">
        <f>(Compact)*160.93</f>
        <v>160.93</v>
      </c>
    </row>
    <row r="291" spans="1:7" x14ac:dyDescent="0.2">
      <c r="A291" s="9" t="s">
        <v>1672</v>
      </c>
      <c r="B291" s="9">
        <v>22</v>
      </c>
      <c r="C291" s="9">
        <v>500</v>
      </c>
      <c r="D291" s="9">
        <v>1200</v>
      </c>
      <c r="E291" s="14" t="s">
        <v>1673</v>
      </c>
      <c r="F291" s="15">
        <v>172.33</v>
      </c>
      <c r="G291" s="11">
        <f>(Compact)*172.33</f>
        <v>172.33</v>
      </c>
    </row>
    <row r="292" spans="1:7" x14ac:dyDescent="0.2">
      <c r="A292" s="9" t="s">
        <v>1674</v>
      </c>
      <c r="B292" s="9">
        <v>22</v>
      </c>
      <c r="C292" s="9">
        <v>500</v>
      </c>
      <c r="D292" s="9">
        <v>1400</v>
      </c>
      <c r="E292" s="14" t="s">
        <v>1675</v>
      </c>
      <c r="F292" s="15">
        <v>194.8</v>
      </c>
      <c r="G292" s="11">
        <f>(Compact)*194.8</f>
        <v>194.8</v>
      </c>
    </row>
    <row r="293" spans="1:7" x14ac:dyDescent="0.2">
      <c r="A293" s="9" t="s">
        <v>1676</v>
      </c>
      <c r="B293" s="9">
        <v>22</v>
      </c>
      <c r="C293" s="9">
        <v>500</v>
      </c>
      <c r="D293" s="9">
        <v>1600</v>
      </c>
      <c r="E293" s="14" t="s">
        <v>1677</v>
      </c>
      <c r="F293" s="15">
        <v>217.39</v>
      </c>
      <c r="G293" s="11">
        <f>(Compact)*217.39</f>
        <v>217.39</v>
      </c>
    </row>
    <row r="294" spans="1:7" x14ac:dyDescent="0.2">
      <c r="A294" s="9" t="s">
        <v>1678</v>
      </c>
      <c r="B294" s="9">
        <v>22</v>
      </c>
      <c r="C294" s="9">
        <v>500</v>
      </c>
      <c r="D294" s="9">
        <v>1800</v>
      </c>
      <c r="E294" s="14" t="s">
        <v>1679</v>
      </c>
      <c r="F294" s="15">
        <v>239.87</v>
      </c>
      <c r="G294" s="11">
        <f>(Compact)*239.87</f>
        <v>239.87</v>
      </c>
    </row>
    <row r="295" spans="1:7" x14ac:dyDescent="0.2">
      <c r="A295" s="9" t="s">
        <v>1680</v>
      </c>
      <c r="B295" s="9">
        <v>22</v>
      </c>
      <c r="C295" s="9">
        <v>500</v>
      </c>
      <c r="D295" s="9">
        <v>2000</v>
      </c>
      <c r="E295" s="14" t="s">
        <v>1681</v>
      </c>
      <c r="F295" s="15">
        <v>262.64</v>
      </c>
      <c r="G295" s="11">
        <f>(Compact)*262.64</f>
        <v>262.64</v>
      </c>
    </row>
    <row r="296" spans="1:7" x14ac:dyDescent="0.2">
      <c r="A296" s="9" t="s">
        <v>1682</v>
      </c>
      <c r="B296" s="9">
        <v>22</v>
      </c>
      <c r="C296" s="9">
        <v>500</v>
      </c>
      <c r="D296" s="9">
        <v>2300</v>
      </c>
      <c r="E296" s="14" t="s">
        <v>1683</v>
      </c>
      <c r="F296" s="15">
        <v>296.52999999999997</v>
      </c>
      <c r="G296" s="11">
        <f>(Compact)*296.53</f>
        <v>296.52999999999997</v>
      </c>
    </row>
    <row r="297" spans="1:7" x14ac:dyDescent="0.2">
      <c r="A297" s="9" t="s">
        <v>1684</v>
      </c>
      <c r="B297" s="9">
        <v>22</v>
      </c>
      <c r="C297" s="9">
        <v>500</v>
      </c>
      <c r="D297" s="9">
        <v>2600</v>
      </c>
      <c r="E297" s="14" t="s">
        <v>1685</v>
      </c>
      <c r="F297" s="15">
        <v>330.39</v>
      </c>
      <c r="G297" s="11">
        <f>(Compact)*330.39</f>
        <v>330.39</v>
      </c>
    </row>
    <row r="298" spans="1:7" x14ac:dyDescent="0.2">
      <c r="A298" s="9" t="s">
        <v>1686</v>
      </c>
      <c r="B298" s="9">
        <v>22</v>
      </c>
      <c r="C298" s="9">
        <v>500</v>
      </c>
      <c r="D298" s="9">
        <v>3000</v>
      </c>
      <c r="E298" s="14" t="s">
        <v>1687</v>
      </c>
      <c r="F298" s="15">
        <v>375.87</v>
      </c>
      <c r="G298" s="11">
        <f>(Compact)*375.87</f>
        <v>375.87</v>
      </c>
    </row>
    <row r="299" spans="1:7" x14ac:dyDescent="0.2">
      <c r="A299" s="9" t="s">
        <v>1688</v>
      </c>
      <c r="B299" s="9">
        <v>22</v>
      </c>
      <c r="C299" s="9">
        <v>550</v>
      </c>
      <c r="D299" s="9">
        <v>400</v>
      </c>
      <c r="E299" s="14" t="s">
        <v>1689</v>
      </c>
      <c r="F299" s="15">
        <v>85.81</v>
      </c>
      <c r="G299" s="11">
        <f>(Compact)*85.81</f>
        <v>85.81</v>
      </c>
    </row>
    <row r="300" spans="1:7" x14ac:dyDescent="0.2">
      <c r="A300" s="9" t="s">
        <v>1690</v>
      </c>
      <c r="B300" s="9">
        <v>22</v>
      </c>
      <c r="C300" s="9">
        <v>550</v>
      </c>
      <c r="D300" s="9">
        <v>500</v>
      </c>
      <c r="E300" s="14" t="s">
        <v>1691</v>
      </c>
      <c r="F300" s="15">
        <v>97.5</v>
      </c>
      <c r="G300" s="11">
        <f>(Compact)*97.5</f>
        <v>97.5</v>
      </c>
    </row>
    <row r="301" spans="1:7" x14ac:dyDescent="0.2">
      <c r="A301" s="9" t="s">
        <v>1692</v>
      </c>
      <c r="B301" s="9">
        <v>22</v>
      </c>
      <c r="C301" s="9">
        <v>550</v>
      </c>
      <c r="D301" s="9">
        <v>600</v>
      </c>
      <c r="E301" s="14" t="s">
        <v>1693</v>
      </c>
      <c r="F301" s="15">
        <v>109.04</v>
      </c>
      <c r="G301" s="11">
        <f>(Compact)*109.04</f>
        <v>109.04</v>
      </c>
    </row>
    <row r="302" spans="1:7" x14ac:dyDescent="0.2">
      <c r="A302" s="9" t="s">
        <v>1694</v>
      </c>
      <c r="B302" s="9">
        <v>22</v>
      </c>
      <c r="C302" s="9">
        <v>550</v>
      </c>
      <c r="D302" s="9">
        <v>700</v>
      </c>
      <c r="E302" s="14" t="s">
        <v>1695</v>
      </c>
      <c r="F302" s="15">
        <v>120.77</v>
      </c>
      <c r="G302" s="11">
        <f>(Compact)*120.77</f>
        <v>120.77</v>
      </c>
    </row>
    <row r="303" spans="1:7" x14ac:dyDescent="0.2">
      <c r="A303" s="9" t="s">
        <v>1696</v>
      </c>
      <c r="B303" s="9">
        <v>22</v>
      </c>
      <c r="C303" s="9">
        <v>550</v>
      </c>
      <c r="D303" s="9">
        <v>800</v>
      </c>
      <c r="E303" s="14" t="s">
        <v>1697</v>
      </c>
      <c r="F303" s="15">
        <v>132.87</v>
      </c>
      <c r="G303" s="11">
        <f>(Compact)*132.87</f>
        <v>132.87</v>
      </c>
    </row>
    <row r="304" spans="1:7" x14ac:dyDescent="0.2">
      <c r="A304" s="9" t="s">
        <v>1698</v>
      </c>
      <c r="B304" s="9">
        <v>22</v>
      </c>
      <c r="C304" s="9">
        <v>550</v>
      </c>
      <c r="D304" s="9">
        <v>900</v>
      </c>
      <c r="E304" s="14" t="s">
        <v>1699</v>
      </c>
      <c r="F304" s="15">
        <v>144.85</v>
      </c>
      <c r="G304" s="11">
        <f>(Compact)*144.85</f>
        <v>144.85</v>
      </c>
    </row>
    <row r="305" spans="1:7" x14ac:dyDescent="0.2">
      <c r="A305" s="9" t="s">
        <v>1700</v>
      </c>
      <c r="B305" s="9">
        <v>22</v>
      </c>
      <c r="C305" s="9">
        <v>550</v>
      </c>
      <c r="D305" s="9">
        <v>1000</v>
      </c>
      <c r="E305" s="14" t="s">
        <v>1701</v>
      </c>
      <c r="F305" s="15">
        <v>156.82</v>
      </c>
      <c r="G305" s="11">
        <f>(Compact)*156.82</f>
        <v>156.82</v>
      </c>
    </row>
    <row r="306" spans="1:7" x14ac:dyDescent="0.2">
      <c r="A306" s="9" t="s">
        <v>1702</v>
      </c>
      <c r="B306" s="9">
        <v>22</v>
      </c>
      <c r="C306" s="9">
        <v>550</v>
      </c>
      <c r="D306" s="9">
        <v>1100</v>
      </c>
      <c r="E306" s="14" t="s">
        <v>1703</v>
      </c>
      <c r="F306" s="15">
        <v>168.51</v>
      </c>
      <c r="G306" s="11">
        <f>(Compact)*168.51</f>
        <v>168.51</v>
      </c>
    </row>
    <row r="307" spans="1:7" x14ac:dyDescent="0.2">
      <c r="A307" s="9" t="s">
        <v>1704</v>
      </c>
      <c r="B307" s="9">
        <v>22</v>
      </c>
      <c r="C307" s="9">
        <v>550</v>
      </c>
      <c r="D307" s="9">
        <v>1200</v>
      </c>
      <c r="E307" s="14" t="s">
        <v>1705</v>
      </c>
      <c r="F307" s="15">
        <v>180.67</v>
      </c>
      <c r="G307" s="11">
        <f>(Compact)*180.67</f>
        <v>180.67</v>
      </c>
    </row>
    <row r="308" spans="1:7" x14ac:dyDescent="0.2">
      <c r="A308" s="9" t="s">
        <v>1706</v>
      </c>
      <c r="B308" s="9">
        <v>22</v>
      </c>
      <c r="C308" s="9">
        <v>550</v>
      </c>
      <c r="D308" s="9">
        <v>1400</v>
      </c>
      <c r="E308" s="14" t="s">
        <v>1707</v>
      </c>
      <c r="F308" s="15">
        <v>204.76</v>
      </c>
      <c r="G308" s="11">
        <f>(Compact)*204.76</f>
        <v>204.76</v>
      </c>
    </row>
    <row r="309" spans="1:7" x14ac:dyDescent="0.2">
      <c r="A309" s="9" t="s">
        <v>1708</v>
      </c>
      <c r="B309" s="9">
        <v>22</v>
      </c>
      <c r="C309" s="9">
        <v>550</v>
      </c>
      <c r="D309" s="9">
        <v>1600</v>
      </c>
      <c r="E309" s="14" t="s">
        <v>1709</v>
      </c>
      <c r="F309" s="15">
        <v>228.51</v>
      </c>
      <c r="G309" s="11">
        <f>(Compact)*228.51</f>
        <v>228.51</v>
      </c>
    </row>
    <row r="310" spans="1:7" x14ac:dyDescent="0.2">
      <c r="A310" s="9" t="s">
        <v>1710</v>
      </c>
      <c r="B310" s="9">
        <v>22</v>
      </c>
      <c r="C310" s="9">
        <v>550</v>
      </c>
      <c r="D310" s="9">
        <v>1800</v>
      </c>
      <c r="E310" s="14" t="s">
        <v>1711</v>
      </c>
      <c r="F310" s="15">
        <v>252.44</v>
      </c>
      <c r="G310" s="11">
        <f>(Compact)*252.44</f>
        <v>252.44</v>
      </c>
    </row>
    <row r="311" spans="1:7" x14ac:dyDescent="0.2">
      <c r="A311" s="9" t="s">
        <v>1712</v>
      </c>
      <c r="B311" s="9">
        <v>22</v>
      </c>
      <c r="C311" s="9">
        <v>550</v>
      </c>
      <c r="D311" s="9">
        <v>2000</v>
      </c>
      <c r="E311" s="14" t="s">
        <v>1713</v>
      </c>
      <c r="F311" s="15">
        <v>276.49</v>
      </c>
      <c r="G311" s="11">
        <f>(Compact)*276.49</f>
        <v>276.49</v>
      </c>
    </row>
    <row r="312" spans="1:7" x14ac:dyDescent="0.2">
      <c r="A312" s="9" t="s">
        <v>1714</v>
      </c>
      <c r="B312" s="9">
        <v>22</v>
      </c>
      <c r="C312" s="9">
        <v>550</v>
      </c>
      <c r="D312" s="9">
        <v>2300</v>
      </c>
      <c r="E312" s="14" t="s">
        <v>1715</v>
      </c>
      <c r="F312" s="15">
        <v>312.7</v>
      </c>
      <c r="G312" s="11">
        <f>(Compact)*312.7</f>
        <v>312.7</v>
      </c>
    </row>
    <row r="313" spans="1:7" x14ac:dyDescent="0.2">
      <c r="A313" s="9" t="s">
        <v>1716</v>
      </c>
      <c r="B313" s="9">
        <v>22</v>
      </c>
      <c r="C313" s="9">
        <v>550</v>
      </c>
      <c r="D313" s="9">
        <v>2600</v>
      </c>
      <c r="E313" s="14" t="s">
        <v>1717</v>
      </c>
      <c r="F313" s="15">
        <v>348.51</v>
      </c>
      <c r="G313" s="11">
        <f>(Compact)*348.51</f>
        <v>348.51</v>
      </c>
    </row>
    <row r="314" spans="1:7" x14ac:dyDescent="0.2">
      <c r="A314" s="9" t="s">
        <v>1718</v>
      </c>
      <c r="B314" s="9">
        <v>22</v>
      </c>
      <c r="C314" s="9">
        <v>550</v>
      </c>
      <c r="D314" s="9">
        <v>3000</v>
      </c>
      <c r="E314" s="14" t="s">
        <v>1719</v>
      </c>
      <c r="F314" s="15">
        <v>396.47</v>
      </c>
      <c r="G314" s="11">
        <f>(Compact)*396.47</f>
        <v>396.47</v>
      </c>
    </row>
    <row r="315" spans="1:7" x14ac:dyDescent="0.2">
      <c r="A315" s="9" t="s">
        <v>1720</v>
      </c>
      <c r="B315" s="9">
        <v>22</v>
      </c>
      <c r="C315" s="9">
        <v>600</v>
      </c>
      <c r="D315" s="9">
        <v>400</v>
      </c>
      <c r="E315" s="14" t="s">
        <v>1721</v>
      </c>
      <c r="F315" s="15">
        <v>88.39</v>
      </c>
      <c r="G315" s="11">
        <f>(Compact)*88.39</f>
        <v>88.39</v>
      </c>
    </row>
    <row r="316" spans="1:7" x14ac:dyDescent="0.2">
      <c r="A316" s="9" t="s">
        <v>1722</v>
      </c>
      <c r="B316" s="9">
        <v>22</v>
      </c>
      <c r="C316" s="9">
        <v>600</v>
      </c>
      <c r="D316" s="9">
        <v>500</v>
      </c>
      <c r="E316" s="14" t="s">
        <v>1723</v>
      </c>
      <c r="F316" s="15">
        <v>100.16</v>
      </c>
      <c r="G316" s="11">
        <f>(Compact)*100.16</f>
        <v>100.16</v>
      </c>
    </row>
    <row r="317" spans="1:7" x14ac:dyDescent="0.2">
      <c r="A317" s="9" t="s">
        <v>1724</v>
      </c>
      <c r="B317" s="9">
        <v>22</v>
      </c>
      <c r="C317" s="9">
        <v>600</v>
      </c>
      <c r="D317" s="9">
        <v>600</v>
      </c>
      <c r="E317" s="14" t="s">
        <v>1725</v>
      </c>
      <c r="F317" s="15">
        <v>111.86</v>
      </c>
      <c r="G317" s="11">
        <f>(Compact)*111.86</f>
        <v>111.86</v>
      </c>
    </row>
    <row r="318" spans="1:7" x14ac:dyDescent="0.2">
      <c r="A318" s="9" t="s">
        <v>1726</v>
      </c>
      <c r="B318" s="9">
        <v>22</v>
      </c>
      <c r="C318" s="9">
        <v>600</v>
      </c>
      <c r="D318" s="9">
        <v>700</v>
      </c>
      <c r="E318" s="14" t="s">
        <v>1727</v>
      </c>
      <c r="F318" s="15">
        <v>124.39</v>
      </c>
      <c r="G318" s="11">
        <f>(Compact)*124.39</f>
        <v>124.39</v>
      </c>
    </row>
    <row r="319" spans="1:7" x14ac:dyDescent="0.2">
      <c r="A319" s="9" t="s">
        <v>1728</v>
      </c>
      <c r="B319" s="9">
        <v>22</v>
      </c>
      <c r="C319" s="9">
        <v>600</v>
      </c>
      <c r="D319" s="9">
        <v>800</v>
      </c>
      <c r="E319" s="14" t="s">
        <v>1729</v>
      </c>
      <c r="F319" s="15">
        <v>137.25</v>
      </c>
      <c r="G319" s="11">
        <f>(Compact)*137.25</f>
        <v>137.25</v>
      </c>
    </row>
    <row r="320" spans="1:7" x14ac:dyDescent="0.2">
      <c r="A320" s="9" t="s">
        <v>1730</v>
      </c>
      <c r="B320" s="9">
        <v>22</v>
      </c>
      <c r="C320" s="9">
        <v>600</v>
      </c>
      <c r="D320" s="9">
        <v>900</v>
      </c>
      <c r="E320" s="14" t="s">
        <v>1731</v>
      </c>
      <c r="F320" s="15">
        <v>149.61000000000001</v>
      </c>
      <c r="G320" s="11">
        <f>(Compact)*149.61</f>
        <v>149.61000000000001</v>
      </c>
    </row>
    <row r="321" spans="1:7" x14ac:dyDescent="0.2">
      <c r="A321" s="9" t="s">
        <v>1732</v>
      </c>
      <c r="B321" s="9">
        <v>22</v>
      </c>
      <c r="C321" s="9">
        <v>600</v>
      </c>
      <c r="D321" s="9">
        <v>1000</v>
      </c>
      <c r="E321" s="14" t="s">
        <v>1733</v>
      </c>
      <c r="F321" s="15">
        <v>162.38</v>
      </c>
      <c r="G321" s="11">
        <f>(Compact)*162.38</f>
        <v>162.38</v>
      </c>
    </row>
    <row r="322" spans="1:7" x14ac:dyDescent="0.2">
      <c r="A322" s="9" t="s">
        <v>1734</v>
      </c>
      <c r="B322" s="9">
        <v>22</v>
      </c>
      <c r="C322" s="9">
        <v>600</v>
      </c>
      <c r="D322" s="9">
        <v>1100</v>
      </c>
      <c r="E322" s="14" t="s">
        <v>1735</v>
      </c>
      <c r="F322" s="15">
        <v>174.05</v>
      </c>
      <c r="G322" s="11">
        <f>(Compact)*174.05</f>
        <v>174.05</v>
      </c>
    </row>
    <row r="323" spans="1:7" x14ac:dyDescent="0.2">
      <c r="A323" s="9" t="s">
        <v>1736</v>
      </c>
      <c r="B323" s="9">
        <v>22</v>
      </c>
      <c r="C323" s="9">
        <v>600</v>
      </c>
      <c r="D323" s="9">
        <v>1200</v>
      </c>
      <c r="E323" s="14" t="s">
        <v>1737</v>
      </c>
      <c r="F323" s="15">
        <v>187.11</v>
      </c>
      <c r="G323" s="11">
        <f>(Compact)*187.11</f>
        <v>187.11</v>
      </c>
    </row>
    <row r="324" spans="1:7" x14ac:dyDescent="0.2">
      <c r="A324" s="9" t="s">
        <v>1738</v>
      </c>
      <c r="B324" s="9">
        <v>22</v>
      </c>
      <c r="C324" s="9">
        <v>600</v>
      </c>
      <c r="D324" s="9">
        <v>1400</v>
      </c>
      <c r="E324" s="14" t="s">
        <v>1739</v>
      </c>
      <c r="F324" s="15">
        <v>212.03</v>
      </c>
      <c r="G324" s="11">
        <f>(Compact)*212.03</f>
        <v>212.03</v>
      </c>
    </row>
    <row r="325" spans="1:7" x14ac:dyDescent="0.2">
      <c r="A325" s="9" t="s">
        <v>1740</v>
      </c>
      <c r="B325" s="9">
        <v>22</v>
      </c>
      <c r="C325" s="9">
        <v>600</v>
      </c>
      <c r="D325" s="9">
        <v>1600</v>
      </c>
      <c r="E325" s="14" t="s">
        <v>1741</v>
      </c>
      <c r="F325" s="15">
        <v>236.95</v>
      </c>
      <c r="G325" s="11">
        <f>(Compact)*236.95</f>
        <v>236.95</v>
      </c>
    </row>
    <row r="326" spans="1:7" x14ac:dyDescent="0.2">
      <c r="A326" s="9" t="s">
        <v>1742</v>
      </c>
      <c r="B326" s="9">
        <v>22</v>
      </c>
      <c r="C326" s="9">
        <v>600</v>
      </c>
      <c r="D326" s="9">
        <v>1800</v>
      </c>
      <c r="E326" s="14" t="s">
        <v>1743</v>
      </c>
      <c r="F326" s="15">
        <v>262.38</v>
      </c>
      <c r="G326" s="11">
        <f>(Compact)*262.38</f>
        <v>262.38</v>
      </c>
    </row>
    <row r="327" spans="1:7" x14ac:dyDescent="0.2">
      <c r="A327" s="9" t="s">
        <v>1744</v>
      </c>
      <c r="B327" s="9">
        <v>22</v>
      </c>
      <c r="C327" s="9">
        <v>600</v>
      </c>
      <c r="D327" s="9">
        <v>2000</v>
      </c>
      <c r="E327" s="14" t="s">
        <v>1745</v>
      </c>
      <c r="F327" s="15">
        <v>287.10000000000002</v>
      </c>
      <c r="G327" s="11">
        <f>(Compact)*287.1</f>
        <v>287.10000000000002</v>
      </c>
    </row>
    <row r="328" spans="1:7" x14ac:dyDescent="0.2">
      <c r="A328" s="9" t="s">
        <v>1746</v>
      </c>
      <c r="B328" s="9">
        <v>22</v>
      </c>
      <c r="C328" s="9">
        <v>600</v>
      </c>
      <c r="D328" s="9">
        <v>2300</v>
      </c>
      <c r="E328" s="14" t="s">
        <v>1747</v>
      </c>
      <c r="F328" s="15">
        <v>325.06</v>
      </c>
      <c r="G328" s="11">
        <f>(Compact)*325.06</f>
        <v>325.06</v>
      </c>
    </row>
    <row r="329" spans="1:7" x14ac:dyDescent="0.2">
      <c r="A329" s="9" t="s">
        <v>1748</v>
      </c>
      <c r="B329" s="9">
        <v>22</v>
      </c>
      <c r="C329" s="9">
        <v>600</v>
      </c>
      <c r="D329" s="9">
        <v>2600</v>
      </c>
      <c r="E329" s="14" t="s">
        <v>1749</v>
      </c>
      <c r="F329" s="15">
        <v>362.53</v>
      </c>
      <c r="G329" s="11">
        <f>(Compact)*362.53</f>
        <v>362.53</v>
      </c>
    </row>
    <row r="330" spans="1:7" x14ac:dyDescent="0.2">
      <c r="A330" s="9" t="s">
        <v>1750</v>
      </c>
      <c r="B330" s="9">
        <v>22</v>
      </c>
      <c r="C330" s="9">
        <v>600</v>
      </c>
      <c r="D330" s="9">
        <v>3000</v>
      </c>
      <c r="E330" s="14" t="s">
        <v>1751</v>
      </c>
      <c r="F330" s="15">
        <v>412.46</v>
      </c>
      <c r="G330" s="11">
        <f>(Compact)*412.46</f>
        <v>412.46</v>
      </c>
    </row>
    <row r="331" spans="1:7" x14ac:dyDescent="0.2">
      <c r="A331" s="9" t="s">
        <v>1752</v>
      </c>
      <c r="B331" s="9">
        <v>22</v>
      </c>
      <c r="C331" s="9">
        <v>900</v>
      </c>
      <c r="D331" s="9">
        <v>400</v>
      </c>
      <c r="E331" s="14" t="s">
        <v>1753</v>
      </c>
      <c r="F331" s="15">
        <v>125.1</v>
      </c>
      <c r="G331" s="11">
        <f>(Compact)*125.1</f>
        <v>125.1</v>
      </c>
    </row>
    <row r="332" spans="1:7" x14ac:dyDescent="0.2">
      <c r="A332" s="9" t="s">
        <v>1754</v>
      </c>
      <c r="B332" s="9">
        <v>22</v>
      </c>
      <c r="C332" s="9">
        <v>900</v>
      </c>
      <c r="D332" s="9">
        <v>500</v>
      </c>
      <c r="E332" s="14" t="s">
        <v>1755</v>
      </c>
      <c r="F332" s="15">
        <v>141.15</v>
      </c>
      <c r="G332" s="11">
        <f>(Compact)*141.15</f>
        <v>141.15</v>
      </c>
    </row>
    <row r="333" spans="1:7" x14ac:dyDescent="0.2">
      <c r="A333" s="9" t="s">
        <v>1756</v>
      </c>
      <c r="B333" s="9">
        <v>22</v>
      </c>
      <c r="C333" s="9">
        <v>900</v>
      </c>
      <c r="D333" s="9">
        <v>600</v>
      </c>
      <c r="E333" s="14" t="s">
        <v>1757</v>
      </c>
      <c r="F333" s="15">
        <v>157.61000000000001</v>
      </c>
      <c r="G333" s="11">
        <f>(Compact)*157.61</f>
        <v>157.61000000000001</v>
      </c>
    </row>
    <row r="334" spans="1:7" x14ac:dyDescent="0.2">
      <c r="A334" s="9" t="s">
        <v>1758</v>
      </c>
      <c r="B334" s="9">
        <v>22</v>
      </c>
      <c r="C334" s="9">
        <v>900</v>
      </c>
      <c r="D334" s="9">
        <v>700</v>
      </c>
      <c r="E334" s="14" t="s">
        <v>1759</v>
      </c>
      <c r="F334" s="15">
        <v>178.84</v>
      </c>
      <c r="G334" s="11">
        <f>(Compact)*178.84</f>
        <v>178.84</v>
      </c>
    </row>
    <row r="335" spans="1:7" x14ac:dyDescent="0.2">
      <c r="A335" s="9" t="s">
        <v>1760</v>
      </c>
      <c r="B335" s="9">
        <v>22</v>
      </c>
      <c r="C335" s="9">
        <v>900</v>
      </c>
      <c r="D335" s="9">
        <v>800</v>
      </c>
      <c r="E335" s="14" t="s">
        <v>1761</v>
      </c>
      <c r="F335" s="15">
        <v>199.48</v>
      </c>
      <c r="G335" s="11">
        <f>(Compact)*199.48</f>
        <v>199.48</v>
      </c>
    </row>
    <row r="336" spans="1:7" x14ac:dyDescent="0.2">
      <c r="A336" s="9" t="s">
        <v>1762</v>
      </c>
      <c r="B336" s="9">
        <v>22</v>
      </c>
      <c r="C336" s="9">
        <v>900</v>
      </c>
      <c r="D336" s="9">
        <v>900</v>
      </c>
      <c r="E336" s="14" t="s">
        <v>1763</v>
      </c>
      <c r="F336" s="15">
        <v>220.5</v>
      </c>
      <c r="G336" s="11">
        <f>(Compact)*220.5</f>
        <v>220.5</v>
      </c>
    </row>
    <row r="337" spans="1:7" x14ac:dyDescent="0.2">
      <c r="A337" s="9" t="s">
        <v>1764</v>
      </c>
      <c r="B337" s="9">
        <v>22</v>
      </c>
      <c r="C337" s="9">
        <v>900</v>
      </c>
      <c r="D337" s="9">
        <v>1000</v>
      </c>
      <c r="E337" s="14" t="s">
        <v>1765</v>
      </c>
      <c r="F337" s="15">
        <v>241.84</v>
      </c>
      <c r="G337" s="11">
        <f>(Compact)*241.84</f>
        <v>241.84</v>
      </c>
    </row>
    <row r="338" spans="1:7" x14ac:dyDescent="0.2">
      <c r="A338" s="9" t="s">
        <v>1766</v>
      </c>
      <c r="B338" s="9">
        <v>22</v>
      </c>
      <c r="C338" s="9">
        <v>900</v>
      </c>
      <c r="D338" s="9">
        <v>1100</v>
      </c>
      <c r="E338" s="14" t="s">
        <v>1767</v>
      </c>
      <c r="F338" s="15">
        <v>262.38</v>
      </c>
      <c r="G338" s="11">
        <f>(Compact)*262.38</f>
        <v>262.38</v>
      </c>
    </row>
    <row r="339" spans="1:7" x14ac:dyDescent="0.2">
      <c r="A339" s="9" t="s">
        <v>1768</v>
      </c>
      <c r="B339" s="9">
        <v>22</v>
      </c>
      <c r="C339" s="9">
        <v>900</v>
      </c>
      <c r="D339" s="9">
        <v>1200</v>
      </c>
      <c r="E339" s="14" t="s">
        <v>1769</v>
      </c>
      <c r="F339" s="15">
        <v>283.38</v>
      </c>
      <c r="G339" s="11">
        <f>(Compact)*283.38</f>
        <v>283.38</v>
      </c>
    </row>
    <row r="340" spans="1:7" x14ac:dyDescent="0.2">
      <c r="A340" s="9" t="s">
        <v>1770</v>
      </c>
      <c r="B340" s="9">
        <v>22</v>
      </c>
      <c r="C340" s="9">
        <v>900</v>
      </c>
      <c r="D340" s="9">
        <v>1400</v>
      </c>
      <c r="E340" s="14" t="s">
        <v>1771</v>
      </c>
      <c r="F340" s="15">
        <v>325.33</v>
      </c>
      <c r="G340" s="11">
        <f>(Compact)*325.33</f>
        <v>325.33</v>
      </c>
    </row>
    <row r="341" spans="1:7" x14ac:dyDescent="0.2">
      <c r="A341" s="9" t="s">
        <v>1772</v>
      </c>
      <c r="B341" s="9">
        <v>22</v>
      </c>
      <c r="C341" s="9">
        <v>900</v>
      </c>
      <c r="D341" s="9">
        <v>1600</v>
      </c>
      <c r="E341" s="14" t="s">
        <v>1773</v>
      </c>
      <c r="F341" s="15">
        <v>367.21</v>
      </c>
      <c r="G341" s="11">
        <f>(Compact)*367.21</f>
        <v>367.21</v>
      </c>
    </row>
    <row r="342" spans="1:7" x14ac:dyDescent="0.2">
      <c r="A342" s="9" t="s">
        <v>1774</v>
      </c>
      <c r="B342" s="9">
        <v>22</v>
      </c>
      <c r="C342" s="9">
        <v>900</v>
      </c>
      <c r="D342" s="9">
        <v>1800</v>
      </c>
      <c r="E342" s="14" t="s">
        <v>1775</v>
      </c>
      <c r="F342" s="15">
        <v>409.27</v>
      </c>
      <c r="G342" s="11">
        <f>(Compact)*409.27</f>
        <v>409.27</v>
      </c>
    </row>
    <row r="343" spans="1:7" x14ac:dyDescent="0.2">
      <c r="A343" s="9" t="s">
        <v>1776</v>
      </c>
      <c r="B343" s="9">
        <v>22</v>
      </c>
      <c r="C343" s="9">
        <v>900</v>
      </c>
      <c r="D343" s="9">
        <v>2000</v>
      </c>
      <c r="E343" s="14" t="s">
        <v>1777</v>
      </c>
      <c r="F343" s="15">
        <v>451.59</v>
      </c>
      <c r="G343" s="11">
        <f>(Compact)*451.59</f>
        <v>451.59</v>
      </c>
    </row>
    <row r="344" spans="1:7" x14ac:dyDescent="0.2">
      <c r="A344" s="9" t="s">
        <v>1778</v>
      </c>
      <c r="B344" s="9">
        <v>22</v>
      </c>
      <c r="C344" s="9">
        <v>900</v>
      </c>
      <c r="D344" s="9">
        <v>2300</v>
      </c>
      <c r="E344" s="14" t="s">
        <v>1779</v>
      </c>
      <c r="F344" s="15">
        <v>510.7</v>
      </c>
      <c r="G344" s="11">
        <f>(Compact)*510.7</f>
        <v>510.7</v>
      </c>
    </row>
    <row r="345" spans="1:7" x14ac:dyDescent="0.2">
      <c r="A345" s="9" t="s">
        <v>1780</v>
      </c>
      <c r="B345" s="9">
        <v>22</v>
      </c>
      <c r="C345" s="9">
        <v>900</v>
      </c>
      <c r="D345" s="9">
        <v>2600</v>
      </c>
      <c r="E345" s="14" t="s">
        <v>1781</v>
      </c>
      <c r="F345" s="15">
        <v>567.55999999999995</v>
      </c>
      <c r="G345" s="11">
        <f>(Compact)*567.56</f>
        <v>567.55999999999995</v>
      </c>
    </row>
    <row r="346" spans="1:7" x14ac:dyDescent="0.2">
      <c r="A346" s="9" t="s">
        <v>1782</v>
      </c>
      <c r="B346" s="9">
        <v>22</v>
      </c>
      <c r="C346" s="9">
        <v>900</v>
      </c>
      <c r="D346" s="9">
        <v>3000</v>
      </c>
      <c r="E346" s="14" t="s">
        <v>1783</v>
      </c>
      <c r="F346" s="15">
        <v>645.34</v>
      </c>
      <c r="G346" s="11">
        <f>(Compact)*645.34</f>
        <v>645.34</v>
      </c>
    </row>
    <row r="347" spans="1:7" x14ac:dyDescent="0.2">
      <c r="A347" s="9" t="s">
        <v>1784</v>
      </c>
      <c r="B347" s="9">
        <v>33</v>
      </c>
      <c r="C347" s="9">
        <v>300</v>
      </c>
      <c r="D347" s="9">
        <v>400</v>
      </c>
      <c r="E347" s="14" t="s">
        <v>1785</v>
      </c>
      <c r="F347" s="15">
        <v>131.41</v>
      </c>
      <c r="G347" s="11">
        <f>(Compact)*131.41</f>
        <v>131.41</v>
      </c>
    </row>
    <row r="348" spans="1:7" x14ac:dyDescent="0.2">
      <c r="A348" s="9" t="s">
        <v>1786</v>
      </c>
      <c r="B348" s="9">
        <v>33</v>
      </c>
      <c r="C348" s="9">
        <v>300</v>
      </c>
      <c r="D348" s="9">
        <v>500</v>
      </c>
      <c r="E348" s="14" t="s">
        <v>1787</v>
      </c>
      <c r="F348" s="15">
        <v>140.19999999999999</v>
      </c>
      <c r="G348" s="11">
        <f>(Compact)*140.2</f>
        <v>140.19999999999999</v>
      </c>
    </row>
    <row r="349" spans="1:7" x14ac:dyDescent="0.2">
      <c r="A349" s="9" t="s">
        <v>1788</v>
      </c>
      <c r="B349" s="9">
        <v>33</v>
      </c>
      <c r="C349" s="9">
        <v>300</v>
      </c>
      <c r="D349" s="9">
        <v>600</v>
      </c>
      <c r="E349" s="14" t="s">
        <v>1789</v>
      </c>
      <c r="F349" s="15">
        <v>149.61000000000001</v>
      </c>
      <c r="G349" s="11">
        <f>(Compact)*149.61</f>
        <v>149.61000000000001</v>
      </c>
    </row>
    <row r="350" spans="1:7" x14ac:dyDescent="0.2">
      <c r="A350" s="9" t="s">
        <v>1790</v>
      </c>
      <c r="B350" s="9">
        <v>33</v>
      </c>
      <c r="C350" s="9">
        <v>300</v>
      </c>
      <c r="D350" s="9">
        <v>700</v>
      </c>
      <c r="E350" s="14" t="s">
        <v>1791</v>
      </c>
      <c r="F350" s="15">
        <v>159.46</v>
      </c>
      <c r="G350" s="11">
        <f>(Compact)*159.46</f>
        <v>159.46</v>
      </c>
    </row>
    <row r="351" spans="1:7" x14ac:dyDescent="0.2">
      <c r="A351" s="9" t="s">
        <v>1792</v>
      </c>
      <c r="B351" s="9">
        <v>33</v>
      </c>
      <c r="C351" s="9">
        <v>300</v>
      </c>
      <c r="D351" s="9">
        <v>800</v>
      </c>
      <c r="E351" s="14" t="s">
        <v>1793</v>
      </c>
      <c r="F351" s="15">
        <v>169.88</v>
      </c>
      <c r="G351" s="11">
        <f>(Compact)*169.88</f>
        <v>169.88</v>
      </c>
    </row>
    <row r="352" spans="1:7" x14ac:dyDescent="0.2">
      <c r="A352" s="9" t="s">
        <v>1794</v>
      </c>
      <c r="B352" s="9">
        <v>33</v>
      </c>
      <c r="C352" s="9">
        <v>300</v>
      </c>
      <c r="D352" s="9">
        <v>900</v>
      </c>
      <c r="E352" s="14" t="s">
        <v>1795</v>
      </c>
      <c r="F352" s="15">
        <v>180.77</v>
      </c>
      <c r="G352" s="11">
        <f>(Compact)*180.77</f>
        <v>180.77</v>
      </c>
    </row>
    <row r="353" spans="1:7" x14ac:dyDescent="0.2">
      <c r="A353" s="9" t="s">
        <v>1796</v>
      </c>
      <c r="B353" s="9">
        <v>33</v>
      </c>
      <c r="C353" s="9">
        <v>300</v>
      </c>
      <c r="D353" s="9">
        <v>1000</v>
      </c>
      <c r="E353" s="14" t="s">
        <v>1797</v>
      </c>
      <c r="F353" s="15">
        <v>191.47</v>
      </c>
      <c r="G353" s="11">
        <f>(Compact)*191.47</f>
        <v>191.47</v>
      </c>
    </row>
    <row r="354" spans="1:7" x14ac:dyDescent="0.2">
      <c r="A354" s="9" t="s">
        <v>1798</v>
      </c>
      <c r="B354" s="9">
        <v>33</v>
      </c>
      <c r="C354" s="9">
        <v>300</v>
      </c>
      <c r="D354" s="9">
        <v>1100</v>
      </c>
      <c r="E354" s="14" t="s">
        <v>1799</v>
      </c>
      <c r="F354" s="15">
        <v>202.07</v>
      </c>
      <c r="G354" s="11">
        <f>(Compact)*202.07</f>
        <v>202.07</v>
      </c>
    </row>
    <row r="355" spans="1:7" x14ac:dyDescent="0.2">
      <c r="A355" s="9" t="s">
        <v>1800</v>
      </c>
      <c r="B355" s="9">
        <v>33</v>
      </c>
      <c r="C355" s="9">
        <v>300</v>
      </c>
      <c r="D355" s="9">
        <v>1200</v>
      </c>
      <c r="E355" s="14" t="s">
        <v>1801</v>
      </c>
      <c r="F355" s="15">
        <v>213</v>
      </c>
      <c r="G355" s="11">
        <f>(Compact)*213</f>
        <v>213</v>
      </c>
    </row>
    <row r="356" spans="1:7" x14ac:dyDescent="0.2">
      <c r="A356" s="9" t="s">
        <v>1802</v>
      </c>
      <c r="B356" s="9">
        <v>33</v>
      </c>
      <c r="C356" s="9">
        <v>300</v>
      </c>
      <c r="D356" s="9">
        <v>1400</v>
      </c>
      <c r="E356" s="14" t="s">
        <v>1803</v>
      </c>
      <c r="F356" s="15">
        <v>234.53</v>
      </c>
      <c r="G356" s="11">
        <f>(Compact)*234.53</f>
        <v>234.53</v>
      </c>
    </row>
    <row r="357" spans="1:7" x14ac:dyDescent="0.2">
      <c r="A357" s="9" t="s">
        <v>1804</v>
      </c>
      <c r="B357" s="9">
        <v>33</v>
      </c>
      <c r="C357" s="9">
        <v>300</v>
      </c>
      <c r="D357" s="9">
        <v>1600</v>
      </c>
      <c r="E357" s="14" t="s">
        <v>1805</v>
      </c>
      <c r="F357" s="15">
        <v>256.14</v>
      </c>
      <c r="G357" s="11">
        <f>(Compact)*256.14</f>
        <v>256.14</v>
      </c>
    </row>
    <row r="358" spans="1:7" x14ac:dyDescent="0.2">
      <c r="A358" s="9" t="s">
        <v>1806</v>
      </c>
      <c r="B358" s="9">
        <v>33</v>
      </c>
      <c r="C358" s="9">
        <v>300</v>
      </c>
      <c r="D358" s="9">
        <v>1800</v>
      </c>
      <c r="E358" s="14" t="s">
        <v>1807</v>
      </c>
      <c r="F358" s="15">
        <v>271.13</v>
      </c>
      <c r="G358" s="11">
        <f>(Compact)*271.13</f>
        <v>271.13</v>
      </c>
    </row>
    <row r="359" spans="1:7" x14ac:dyDescent="0.2">
      <c r="A359" s="9" t="s">
        <v>1808</v>
      </c>
      <c r="B359" s="9">
        <v>33</v>
      </c>
      <c r="C359" s="9">
        <v>300</v>
      </c>
      <c r="D359" s="9">
        <v>2000</v>
      </c>
      <c r="E359" s="14" t="s">
        <v>1809</v>
      </c>
      <c r="F359" s="15">
        <v>298.97000000000003</v>
      </c>
      <c r="G359" s="11">
        <f>(Compact)*298.97</f>
        <v>298.97000000000003</v>
      </c>
    </row>
    <row r="360" spans="1:7" x14ac:dyDescent="0.2">
      <c r="A360" s="9" t="s">
        <v>1810</v>
      </c>
      <c r="B360" s="9">
        <v>33</v>
      </c>
      <c r="C360" s="9">
        <v>300</v>
      </c>
      <c r="D360" s="9">
        <v>2300</v>
      </c>
      <c r="E360" s="14" t="s">
        <v>1811</v>
      </c>
      <c r="F360" s="15">
        <v>331.4</v>
      </c>
      <c r="G360" s="11">
        <f>(Compact)*331.4</f>
        <v>331.4</v>
      </c>
    </row>
    <row r="361" spans="1:7" x14ac:dyDescent="0.2">
      <c r="A361" s="9" t="s">
        <v>1812</v>
      </c>
      <c r="B361" s="9">
        <v>33</v>
      </c>
      <c r="C361" s="9">
        <v>300</v>
      </c>
      <c r="D361" s="9">
        <v>2600</v>
      </c>
      <c r="E361" s="14" t="s">
        <v>1813</v>
      </c>
      <c r="F361" s="15">
        <v>363.31</v>
      </c>
      <c r="G361" s="11">
        <f>(Compact)*363.31</f>
        <v>363.31</v>
      </c>
    </row>
    <row r="362" spans="1:7" x14ac:dyDescent="0.2">
      <c r="A362" s="9" t="s">
        <v>1814</v>
      </c>
      <c r="B362" s="9">
        <v>33</v>
      </c>
      <c r="C362" s="9">
        <v>300</v>
      </c>
      <c r="D362" s="9">
        <v>3000</v>
      </c>
      <c r="E362" s="14" t="s">
        <v>1815</v>
      </c>
      <c r="F362" s="15">
        <v>396.71</v>
      </c>
      <c r="G362" s="11">
        <f>(Compact)*396.71</f>
        <v>396.71</v>
      </c>
    </row>
    <row r="363" spans="1:7" x14ac:dyDescent="0.2">
      <c r="A363" s="9" t="s">
        <v>1816</v>
      </c>
      <c r="B363" s="9">
        <v>33</v>
      </c>
      <c r="C363" s="9">
        <v>400</v>
      </c>
      <c r="D363" s="9">
        <v>400</v>
      </c>
      <c r="E363" s="14" t="s">
        <v>1817</v>
      </c>
      <c r="F363" s="15">
        <v>138.44</v>
      </c>
      <c r="G363" s="11">
        <f>(Compact)*138.44</f>
        <v>138.44</v>
      </c>
    </row>
    <row r="364" spans="1:7" x14ac:dyDescent="0.2">
      <c r="A364" s="9" t="s">
        <v>1818</v>
      </c>
      <c r="B364" s="9">
        <v>33</v>
      </c>
      <c r="C364" s="9">
        <v>400</v>
      </c>
      <c r="D364" s="9">
        <v>500</v>
      </c>
      <c r="E364" s="14" t="s">
        <v>1819</v>
      </c>
      <c r="F364" s="15">
        <v>148.38</v>
      </c>
      <c r="G364" s="11">
        <f>(Compact)*148.38</f>
        <v>148.38</v>
      </c>
    </row>
    <row r="365" spans="1:7" x14ac:dyDescent="0.2">
      <c r="A365" s="9" t="s">
        <v>1820</v>
      </c>
      <c r="B365" s="9">
        <v>33</v>
      </c>
      <c r="C365" s="9">
        <v>400</v>
      </c>
      <c r="D365" s="9">
        <v>600</v>
      </c>
      <c r="E365" s="14" t="s">
        <v>1821</v>
      </c>
      <c r="F365" s="15">
        <v>158.79</v>
      </c>
      <c r="G365" s="11">
        <f>(Compact)*158.79</f>
        <v>158.79</v>
      </c>
    </row>
    <row r="366" spans="1:7" x14ac:dyDescent="0.2">
      <c r="A366" s="9" t="s">
        <v>1822</v>
      </c>
      <c r="B366" s="9">
        <v>33</v>
      </c>
      <c r="C366" s="9">
        <v>400</v>
      </c>
      <c r="D366" s="9">
        <v>700</v>
      </c>
      <c r="E366" s="14" t="s">
        <v>1823</v>
      </c>
      <c r="F366" s="15">
        <v>170.66</v>
      </c>
      <c r="G366" s="11">
        <f>(Compact)*170.66</f>
        <v>170.66</v>
      </c>
    </row>
    <row r="367" spans="1:7" x14ac:dyDescent="0.2">
      <c r="A367" s="9" t="s">
        <v>1824</v>
      </c>
      <c r="B367" s="9">
        <v>33</v>
      </c>
      <c r="C367" s="9">
        <v>400</v>
      </c>
      <c r="D367" s="9">
        <v>800</v>
      </c>
      <c r="E367" s="14" t="s">
        <v>1825</v>
      </c>
      <c r="F367" s="15">
        <v>182.54</v>
      </c>
      <c r="G367" s="11">
        <f>(Compact)*182.54</f>
        <v>182.54</v>
      </c>
    </row>
    <row r="368" spans="1:7" x14ac:dyDescent="0.2">
      <c r="A368" s="9" t="s">
        <v>1826</v>
      </c>
      <c r="B368" s="9">
        <v>33</v>
      </c>
      <c r="C368" s="9">
        <v>400</v>
      </c>
      <c r="D368" s="9">
        <v>900</v>
      </c>
      <c r="E368" s="14" t="s">
        <v>1827</v>
      </c>
      <c r="F368" s="15">
        <v>196.08</v>
      </c>
      <c r="G368" s="11">
        <f>(Compact)*196.08</f>
        <v>196.08</v>
      </c>
    </row>
    <row r="369" spans="1:7" x14ac:dyDescent="0.2">
      <c r="A369" s="9" t="s">
        <v>1828</v>
      </c>
      <c r="B369" s="9">
        <v>33</v>
      </c>
      <c r="C369" s="9">
        <v>400</v>
      </c>
      <c r="D369" s="9">
        <v>1000</v>
      </c>
      <c r="E369" s="14" t="s">
        <v>1829</v>
      </c>
      <c r="F369" s="15">
        <v>209.1</v>
      </c>
      <c r="G369" s="11">
        <f>(Compact)*209.1</f>
        <v>209.1</v>
      </c>
    </row>
    <row r="370" spans="1:7" x14ac:dyDescent="0.2">
      <c r="A370" s="9" t="s">
        <v>1830</v>
      </c>
      <c r="B370" s="9">
        <v>33</v>
      </c>
      <c r="C370" s="9">
        <v>400</v>
      </c>
      <c r="D370" s="9">
        <v>1100</v>
      </c>
      <c r="E370" s="14" t="s">
        <v>1831</v>
      </c>
      <c r="F370" s="15">
        <v>222.46</v>
      </c>
      <c r="G370" s="11">
        <f>(Compact)*222.46</f>
        <v>222.46</v>
      </c>
    </row>
    <row r="371" spans="1:7" x14ac:dyDescent="0.2">
      <c r="A371" s="9" t="s">
        <v>1832</v>
      </c>
      <c r="B371" s="9">
        <v>33</v>
      </c>
      <c r="C371" s="9">
        <v>400</v>
      </c>
      <c r="D371" s="9">
        <v>1200</v>
      </c>
      <c r="E371" s="14" t="s">
        <v>1833</v>
      </c>
      <c r="F371" s="15">
        <v>235.49</v>
      </c>
      <c r="G371" s="11">
        <f>(Compact)*235.49</f>
        <v>235.49</v>
      </c>
    </row>
    <row r="372" spans="1:7" x14ac:dyDescent="0.2">
      <c r="A372" s="9" t="s">
        <v>1834</v>
      </c>
      <c r="B372" s="9">
        <v>33</v>
      </c>
      <c r="C372" s="9">
        <v>400</v>
      </c>
      <c r="D372" s="9">
        <v>1400</v>
      </c>
      <c r="E372" s="14" t="s">
        <v>1835</v>
      </c>
      <c r="F372" s="15">
        <v>262.38</v>
      </c>
      <c r="G372" s="11">
        <f>(Compact)*262.38</f>
        <v>262.38</v>
      </c>
    </row>
    <row r="373" spans="1:7" x14ac:dyDescent="0.2">
      <c r="A373" s="9" t="s">
        <v>1836</v>
      </c>
      <c r="B373" s="9">
        <v>33</v>
      </c>
      <c r="C373" s="9">
        <v>400</v>
      </c>
      <c r="D373" s="9">
        <v>1600</v>
      </c>
      <c r="E373" s="14" t="s">
        <v>1837</v>
      </c>
      <c r="F373" s="15">
        <v>288.56</v>
      </c>
      <c r="G373" s="11">
        <f>(Compact)*288.56</f>
        <v>288.56</v>
      </c>
    </row>
    <row r="374" spans="1:7" x14ac:dyDescent="0.2">
      <c r="A374" s="9" t="s">
        <v>1838</v>
      </c>
      <c r="B374" s="9">
        <v>33</v>
      </c>
      <c r="C374" s="9">
        <v>400</v>
      </c>
      <c r="D374" s="9">
        <v>1800</v>
      </c>
      <c r="E374" s="14" t="s">
        <v>1839</v>
      </c>
      <c r="F374" s="15">
        <v>315.12</v>
      </c>
      <c r="G374" s="11">
        <f>(Compact)*315.12</f>
        <v>315.12</v>
      </c>
    </row>
    <row r="375" spans="1:7" x14ac:dyDescent="0.2">
      <c r="A375" s="9" t="s">
        <v>1840</v>
      </c>
      <c r="B375" s="9">
        <v>33</v>
      </c>
      <c r="C375" s="9">
        <v>400</v>
      </c>
      <c r="D375" s="9">
        <v>2000</v>
      </c>
      <c r="E375" s="14" t="s">
        <v>1841</v>
      </c>
      <c r="F375" s="15">
        <v>341.79</v>
      </c>
      <c r="G375" s="11">
        <f>(Compact)*341.79</f>
        <v>341.79</v>
      </c>
    </row>
    <row r="376" spans="1:7" x14ac:dyDescent="0.2">
      <c r="A376" s="9" t="s">
        <v>1842</v>
      </c>
      <c r="B376" s="9">
        <v>33</v>
      </c>
      <c r="C376" s="9">
        <v>400</v>
      </c>
      <c r="D376" s="9">
        <v>2300</v>
      </c>
      <c r="E376" s="14" t="s">
        <v>1843</v>
      </c>
      <c r="F376" s="15">
        <v>381.42</v>
      </c>
      <c r="G376" s="11">
        <f>(Compact)*381.42</f>
        <v>381.42</v>
      </c>
    </row>
    <row r="377" spans="1:7" x14ac:dyDescent="0.2">
      <c r="A377" s="9" t="s">
        <v>1844</v>
      </c>
      <c r="B377" s="9">
        <v>33</v>
      </c>
      <c r="C377" s="9">
        <v>400</v>
      </c>
      <c r="D377" s="9">
        <v>2600</v>
      </c>
      <c r="E377" s="14" t="s">
        <v>1845</v>
      </c>
      <c r="F377" s="15">
        <v>420.96</v>
      </c>
      <c r="G377" s="11">
        <f>(Compact)*420.96</f>
        <v>420.96</v>
      </c>
    </row>
    <row r="378" spans="1:7" x14ac:dyDescent="0.2">
      <c r="A378" s="9" t="s">
        <v>1846</v>
      </c>
      <c r="B378" s="9">
        <v>33</v>
      </c>
      <c r="C378" s="9">
        <v>400</v>
      </c>
      <c r="D378" s="9">
        <v>3000</v>
      </c>
      <c r="E378" s="14" t="s">
        <v>1847</v>
      </c>
      <c r="F378" s="15">
        <v>463.77</v>
      </c>
      <c r="G378" s="11">
        <f>(Compact)*463.77</f>
        <v>463.77</v>
      </c>
    </row>
    <row r="379" spans="1:7" x14ac:dyDescent="0.2">
      <c r="A379" s="9" t="s">
        <v>1848</v>
      </c>
      <c r="B379" s="9">
        <v>33</v>
      </c>
      <c r="C379" s="9">
        <v>450</v>
      </c>
      <c r="D379" s="9">
        <v>400</v>
      </c>
      <c r="E379" s="14" t="s">
        <v>1849</v>
      </c>
      <c r="F379" s="15">
        <v>147.41</v>
      </c>
      <c r="G379" s="11">
        <f>(Compact)*147.41</f>
        <v>147.41</v>
      </c>
    </row>
    <row r="380" spans="1:7" x14ac:dyDescent="0.2">
      <c r="A380" s="9" t="s">
        <v>1850</v>
      </c>
      <c r="B380" s="9">
        <v>33</v>
      </c>
      <c r="C380" s="9">
        <v>450</v>
      </c>
      <c r="D380" s="9">
        <v>500</v>
      </c>
      <c r="E380" s="14" t="s">
        <v>1851</v>
      </c>
      <c r="F380" s="15">
        <v>158.79</v>
      </c>
      <c r="G380" s="11">
        <f>(Compact)*158.79</f>
        <v>158.79</v>
      </c>
    </row>
    <row r="381" spans="1:7" x14ac:dyDescent="0.2">
      <c r="A381" s="9" t="s">
        <v>1852</v>
      </c>
      <c r="B381" s="9">
        <v>33</v>
      </c>
      <c r="C381" s="9">
        <v>450</v>
      </c>
      <c r="D381" s="9">
        <v>600</v>
      </c>
      <c r="E381" s="14" t="s">
        <v>1853</v>
      </c>
      <c r="F381" s="15">
        <v>171.33</v>
      </c>
      <c r="G381" s="11">
        <f>(Compact)*171.33</f>
        <v>171.33</v>
      </c>
    </row>
    <row r="382" spans="1:7" x14ac:dyDescent="0.2">
      <c r="A382" s="9" t="s">
        <v>1854</v>
      </c>
      <c r="B382" s="9">
        <v>33</v>
      </c>
      <c r="C382" s="9">
        <v>450</v>
      </c>
      <c r="D382" s="9">
        <v>700</v>
      </c>
      <c r="E382" s="14" t="s">
        <v>1855</v>
      </c>
      <c r="F382" s="15">
        <v>184.65</v>
      </c>
      <c r="G382" s="11">
        <f>(Compact)*184.65</f>
        <v>184.65</v>
      </c>
    </row>
    <row r="383" spans="1:7" x14ac:dyDescent="0.2">
      <c r="A383" s="9" t="s">
        <v>1856</v>
      </c>
      <c r="B383" s="9">
        <v>33</v>
      </c>
      <c r="C383" s="9">
        <v>450</v>
      </c>
      <c r="D383" s="9">
        <v>800</v>
      </c>
      <c r="E383" s="14" t="s">
        <v>1857</v>
      </c>
      <c r="F383" s="15">
        <v>198.99</v>
      </c>
      <c r="G383" s="11">
        <f>(Compact)*198.99</f>
        <v>198.99</v>
      </c>
    </row>
    <row r="384" spans="1:7" x14ac:dyDescent="0.2">
      <c r="A384" s="9" t="s">
        <v>1858</v>
      </c>
      <c r="B384" s="9">
        <v>33</v>
      </c>
      <c r="C384" s="9">
        <v>450</v>
      </c>
      <c r="D384" s="9">
        <v>900</v>
      </c>
      <c r="E384" s="14" t="s">
        <v>1859</v>
      </c>
      <c r="F384" s="15">
        <v>213.5</v>
      </c>
      <c r="G384" s="11">
        <f>(Compact)*213.5</f>
        <v>213.5</v>
      </c>
    </row>
    <row r="385" spans="1:7" x14ac:dyDescent="0.2">
      <c r="A385" s="9" t="s">
        <v>1860</v>
      </c>
      <c r="B385" s="9">
        <v>33</v>
      </c>
      <c r="C385" s="9">
        <v>450</v>
      </c>
      <c r="D385" s="9">
        <v>1000</v>
      </c>
      <c r="E385" s="14" t="s">
        <v>1861</v>
      </c>
      <c r="F385" s="15">
        <v>227.79</v>
      </c>
      <c r="G385" s="11">
        <f>(Compact)*227.79</f>
        <v>227.79</v>
      </c>
    </row>
    <row r="386" spans="1:7" x14ac:dyDescent="0.2">
      <c r="A386" s="9" t="s">
        <v>1862</v>
      </c>
      <c r="B386" s="9">
        <v>33</v>
      </c>
      <c r="C386" s="9">
        <v>450</v>
      </c>
      <c r="D386" s="9">
        <v>1100</v>
      </c>
      <c r="E386" s="14" t="s">
        <v>1863</v>
      </c>
      <c r="F386" s="15">
        <v>242.31</v>
      </c>
      <c r="G386" s="11">
        <f>(Compact)*242.31</f>
        <v>242.31</v>
      </c>
    </row>
    <row r="387" spans="1:7" x14ac:dyDescent="0.2">
      <c r="A387" s="9" t="s">
        <v>1864</v>
      </c>
      <c r="B387" s="9">
        <v>33</v>
      </c>
      <c r="C387" s="9">
        <v>450</v>
      </c>
      <c r="D387" s="9">
        <v>1200</v>
      </c>
      <c r="E387" s="14" t="s">
        <v>1865</v>
      </c>
      <c r="F387" s="15">
        <v>256.8</v>
      </c>
      <c r="G387" s="11">
        <f>(Compact)*256.8</f>
        <v>256.8</v>
      </c>
    </row>
    <row r="388" spans="1:7" x14ac:dyDescent="0.2">
      <c r="A388" s="9" t="s">
        <v>1866</v>
      </c>
      <c r="B388" s="9">
        <v>33</v>
      </c>
      <c r="C388" s="9">
        <v>450</v>
      </c>
      <c r="D388" s="9">
        <v>1400</v>
      </c>
      <c r="E388" s="14" t="s">
        <v>1867</v>
      </c>
      <c r="F388" s="15">
        <v>285.33</v>
      </c>
      <c r="G388" s="11">
        <f>(Compact)*285.33</f>
        <v>285.33</v>
      </c>
    </row>
    <row r="389" spans="1:7" x14ac:dyDescent="0.2">
      <c r="A389" s="9" t="s">
        <v>1868</v>
      </c>
      <c r="B389" s="9">
        <v>33</v>
      </c>
      <c r="C389" s="9">
        <v>450</v>
      </c>
      <c r="D389" s="9">
        <v>1600</v>
      </c>
      <c r="E389" s="14" t="s">
        <v>1869</v>
      </c>
      <c r="F389" s="15">
        <v>314.13</v>
      </c>
      <c r="G389" s="11">
        <f>(Compact)*314.13</f>
        <v>314.13</v>
      </c>
    </row>
    <row r="390" spans="1:7" x14ac:dyDescent="0.2">
      <c r="A390" s="9" t="s">
        <v>1870</v>
      </c>
      <c r="B390" s="9">
        <v>33</v>
      </c>
      <c r="C390" s="9">
        <v>450</v>
      </c>
      <c r="D390" s="9">
        <v>1800</v>
      </c>
      <c r="E390" s="14" t="s">
        <v>1871</v>
      </c>
      <c r="F390" s="15">
        <v>342.97</v>
      </c>
      <c r="G390" s="11">
        <f>(Compact)*342.97</f>
        <v>342.97</v>
      </c>
    </row>
    <row r="391" spans="1:7" x14ac:dyDescent="0.2">
      <c r="A391" s="9" t="s">
        <v>1872</v>
      </c>
      <c r="B391" s="9">
        <v>33</v>
      </c>
      <c r="C391" s="9">
        <v>450</v>
      </c>
      <c r="D391" s="9">
        <v>2000</v>
      </c>
      <c r="E391" s="14" t="s">
        <v>1873</v>
      </c>
      <c r="F391" s="15">
        <v>371.98</v>
      </c>
      <c r="G391" s="11">
        <f>(Compact)*371.98</f>
        <v>371.98</v>
      </c>
    </row>
    <row r="392" spans="1:7" x14ac:dyDescent="0.2">
      <c r="A392" s="9" t="s">
        <v>1874</v>
      </c>
      <c r="B392" s="9">
        <v>33</v>
      </c>
      <c r="C392" s="9">
        <v>450</v>
      </c>
      <c r="D392" s="9">
        <v>2300</v>
      </c>
      <c r="E392" s="14" t="s">
        <v>1875</v>
      </c>
      <c r="F392" s="15">
        <v>414.92</v>
      </c>
      <c r="G392" s="11">
        <f>(Compact)*414.92</f>
        <v>414.92</v>
      </c>
    </row>
    <row r="393" spans="1:7" x14ac:dyDescent="0.2">
      <c r="A393" s="9" t="s">
        <v>1876</v>
      </c>
      <c r="B393" s="9">
        <v>33</v>
      </c>
      <c r="C393" s="9">
        <v>450</v>
      </c>
      <c r="D393" s="9">
        <v>2600</v>
      </c>
      <c r="E393" s="14" t="s">
        <v>1877</v>
      </c>
      <c r="F393" s="15">
        <v>457.94</v>
      </c>
      <c r="G393" s="11">
        <f>(Compact)*457.94</f>
        <v>457.94</v>
      </c>
    </row>
    <row r="394" spans="1:7" x14ac:dyDescent="0.2">
      <c r="A394" s="9" t="s">
        <v>1878</v>
      </c>
      <c r="B394" s="9">
        <v>33</v>
      </c>
      <c r="C394" s="9">
        <v>450</v>
      </c>
      <c r="D394" s="9">
        <v>3000</v>
      </c>
      <c r="E394" s="14" t="s">
        <v>1879</v>
      </c>
      <c r="F394" s="15">
        <v>504.68</v>
      </c>
      <c r="G394" s="11">
        <f>(Compact)*504.68</f>
        <v>504.68</v>
      </c>
    </row>
    <row r="395" spans="1:7" x14ac:dyDescent="0.2">
      <c r="A395" s="9" t="s">
        <v>1880</v>
      </c>
      <c r="B395" s="9">
        <v>33</v>
      </c>
      <c r="C395" s="9">
        <v>500</v>
      </c>
      <c r="D395" s="9">
        <v>400</v>
      </c>
      <c r="E395" s="14" t="s">
        <v>1881</v>
      </c>
      <c r="F395" s="15">
        <v>158.28</v>
      </c>
      <c r="G395" s="11">
        <f>(Compact)*158.28</f>
        <v>158.28</v>
      </c>
    </row>
    <row r="396" spans="1:7" x14ac:dyDescent="0.2">
      <c r="A396" s="9" t="s">
        <v>1882</v>
      </c>
      <c r="B396" s="9">
        <v>33</v>
      </c>
      <c r="C396" s="9">
        <v>500</v>
      </c>
      <c r="D396" s="9">
        <v>500</v>
      </c>
      <c r="E396" s="14" t="s">
        <v>1883</v>
      </c>
      <c r="F396" s="15">
        <v>170.88</v>
      </c>
      <c r="G396" s="11">
        <f>(Compact)*170.88</f>
        <v>170.88</v>
      </c>
    </row>
    <row r="397" spans="1:7" x14ac:dyDescent="0.2">
      <c r="A397" s="9" t="s">
        <v>1884</v>
      </c>
      <c r="B397" s="9">
        <v>33</v>
      </c>
      <c r="C397" s="9">
        <v>500</v>
      </c>
      <c r="D397" s="9">
        <v>600</v>
      </c>
      <c r="E397" s="14" t="s">
        <v>1885</v>
      </c>
      <c r="F397" s="15">
        <v>183.99</v>
      </c>
      <c r="G397" s="11">
        <f>(Compact)*183.99</f>
        <v>183.99</v>
      </c>
    </row>
    <row r="398" spans="1:7" x14ac:dyDescent="0.2">
      <c r="A398" s="9" t="s">
        <v>1886</v>
      </c>
      <c r="B398" s="9">
        <v>33</v>
      </c>
      <c r="C398" s="9">
        <v>500</v>
      </c>
      <c r="D398" s="9">
        <v>700</v>
      </c>
      <c r="E398" s="14" t="s">
        <v>1887</v>
      </c>
      <c r="F398" s="15">
        <v>198.03</v>
      </c>
      <c r="G398" s="11">
        <f>(Compact)*198.03</f>
        <v>198.03</v>
      </c>
    </row>
    <row r="399" spans="1:7" x14ac:dyDescent="0.2">
      <c r="A399" s="9" t="s">
        <v>1888</v>
      </c>
      <c r="B399" s="9">
        <v>33</v>
      </c>
      <c r="C399" s="9">
        <v>500</v>
      </c>
      <c r="D399" s="9">
        <v>800</v>
      </c>
      <c r="E399" s="14" t="s">
        <v>1889</v>
      </c>
      <c r="F399" s="15">
        <v>213.71</v>
      </c>
      <c r="G399" s="11">
        <f>(Compact)*213.71</f>
        <v>213.71</v>
      </c>
    </row>
    <row r="400" spans="1:7" x14ac:dyDescent="0.2">
      <c r="A400" s="9" t="s">
        <v>1890</v>
      </c>
      <c r="B400" s="9">
        <v>33</v>
      </c>
      <c r="C400" s="9">
        <v>500</v>
      </c>
      <c r="D400" s="9">
        <v>900</v>
      </c>
      <c r="E400" s="14" t="s">
        <v>1891</v>
      </c>
      <c r="F400" s="15">
        <v>229.93</v>
      </c>
      <c r="G400" s="11">
        <f>(Compact)*229.93</f>
        <v>229.93</v>
      </c>
    </row>
    <row r="401" spans="1:7" x14ac:dyDescent="0.2">
      <c r="A401" s="9" t="s">
        <v>1892</v>
      </c>
      <c r="B401" s="9">
        <v>33</v>
      </c>
      <c r="C401" s="9">
        <v>500</v>
      </c>
      <c r="D401" s="9">
        <v>1000</v>
      </c>
      <c r="E401" s="14" t="s">
        <v>1893</v>
      </c>
      <c r="F401" s="15">
        <v>245.9</v>
      </c>
      <c r="G401" s="11">
        <f>(Compact)*245.9</f>
        <v>245.9</v>
      </c>
    </row>
    <row r="402" spans="1:7" x14ac:dyDescent="0.2">
      <c r="A402" s="9" t="s">
        <v>1894</v>
      </c>
      <c r="B402" s="9">
        <v>33</v>
      </c>
      <c r="C402" s="9">
        <v>500</v>
      </c>
      <c r="D402" s="9">
        <v>1100</v>
      </c>
      <c r="E402" s="14" t="s">
        <v>1895</v>
      </c>
      <c r="F402" s="15">
        <v>262.38</v>
      </c>
      <c r="G402" s="11">
        <f>(Compact)*262.38</f>
        <v>262.38</v>
      </c>
    </row>
    <row r="403" spans="1:7" x14ac:dyDescent="0.2">
      <c r="A403" s="9" t="s">
        <v>1896</v>
      </c>
      <c r="B403" s="9">
        <v>33</v>
      </c>
      <c r="C403" s="9">
        <v>500</v>
      </c>
      <c r="D403" s="9">
        <v>1200</v>
      </c>
      <c r="E403" s="14" t="s">
        <v>1897</v>
      </c>
      <c r="F403" s="15">
        <v>278.64</v>
      </c>
      <c r="G403" s="11">
        <f>(Compact)*278.64</f>
        <v>278.64</v>
      </c>
    </row>
    <row r="404" spans="1:7" x14ac:dyDescent="0.2">
      <c r="A404" s="9" t="s">
        <v>1898</v>
      </c>
      <c r="B404" s="9">
        <v>33</v>
      </c>
      <c r="C404" s="9">
        <v>500</v>
      </c>
      <c r="D404" s="9">
        <v>1400</v>
      </c>
      <c r="E404" s="14" t="s">
        <v>1899</v>
      </c>
      <c r="F404" s="15">
        <v>310.52999999999997</v>
      </c>
      <c r="G404" s="11">
        <f>(Compact)*310.53</f>
        <v>310.52999999999997</v>
      </c>
    </row>
    <row r="405" spans="1:7" x14ac:dyDescent="0.2">
      <c r="A405" s="9" t="s">
        <v>1900</v>
      </c>
      <c r="B405" s="9">
        <v>33</v>
      </c>
      <c r="C405" s="9">
        <v>500</v>
      </c>
      <c r="D405" s="9">
        <v>1600</v>
      </c>
      <c r="E405" s="14" t="s">
        <v>1901</v>
      </c>
      <c r="F405" s="15">
        <v>343.25</v>
      </c>
      <c r="G405" s="11">
        <f>(Compact)*343.25</f>
        <v>343.25</v>
      </c>
    </row>
    <row r="406" spans="1:7" x14ac:dyDescent="0.2">
      <c r="A406" s="9" t="s">
        <v>1902</v>
      </c>
      <c r="B406" s="9">
        <v>33</v>
      </c>
      <c r="C406" s="9">
        <v>500</v>
      </c>
      <c r="D406" s="9">
        <v>1800</v>
      </c>
      <c r="E406" s="14" t="s">
        <v>1903</v>
      </c>
      <c r="F406" s="15">
        <v>375.87</v>
      </c>
      <c r="G406" s="11">
        <f>(Compact)*375.87</f>
        <v>375.87</v>
      </c>
    </row>
    <row r="407" spans="1:7" x14ac:dyDescent="0.2">
      <c r="A407" s="9" t="s">
        <v>1904</v>
      </c>
      <c r="B407" s="9">
        <v>33</v>
      </c>
      <c r="C407" s="9">
        <v>500</v>
      </c>
      <c r="D407" s="9">
        <v>2000</v>
      </c>
      <c r="E407" s="14" t="s">
        <v>1905</v>
      </c>
      <c r="F407" s="15">
        <v>408.1</v>
      </c>
      <c r="G407" s="11">
        <f>(Compact)*408.1</f>
        <v>408.1</v>
      </c>
    </row>
    <row r="408" spans="1:7" x14ac:dyDescent="0.2">
      <c r="A408" s="9" t="s">
        <v>1906</v>
      </c>
      <c r="B408" s="9">
        <v>33</v>
      </c>
      <c r="C408" s="9">
        <v>500</v>
      </c>
      <c r="D408" s="9">
        <v>2300</v>
      </c>
      <c r="E408" s="14" t="s">
        <v>1907</v>
      </c>
      <c r="F408" s="15">
        <v>456.99</v>
      </c>
      <c r="G408" s="11">
        <f>(Compact)*456.99</f>
        <v>456.99</v>
      </c>
    </row>
    <row r="409" spans="1:7" x14ac:dyDescent="0.2">
      <c r="A409" s="9" t="s">
        <v>1908</v>
      </c>
      <c r="B409" s="9">
        <v>33</v>
      </c>
      <c r="C409" s="9">
        <v>500</v>
      </c>
      <c r="D409" s="9">
        <v>2600</v>
      </c>
      <c r="E409" s="14" t="s">
        <v>1909</v>
      </c>
      <c r="F409" s="15">
        <v>505.65</v>
      </c>
      <c r="G409" s="11">
        <f>(Compact)*505.65</f>
        <v>505.65</v>
      </c>
    </row>
    <row r="410" spans="1:7" x14ac:dyDescent="0.2">
      <c r="A410" s="9" t="s">
        <v>1910</v>
      </c>
      <c r="B410" s="9">
        <v>33</v>
      </c>
      <c r="C410" s="9">
        <v>500</v>
      </c>
      <c r="D410" s="9">
        <v>3000</v>
      </c>
      <c r="E410" s="14" t="s">
        <v>1911</v>
      </c>
      <c r="F410" s="15">
        <v>558.9</v>
      </c>
      <c r="G410" s="11">
        <f>(Compact)*558.9</f>
        <v>558.9</v>
      </c>
    </row>
    <row r="411" spans="1:7" x14ac:dyDescent="0.2">
      <c r="A411" s="9" t="s">
        <v>1912</v>
      </c>
      <c r="B411" s="9">
        <v>33</v>
      </c>
      <c r="C411" s="9">
        <v>550</v>
      </c>
      <c r="D411" s="9">
        <v>400</v>
      </c>
      <c r="E411" s="14" t="s">
        <v>1913</v>
      </c>
      <c r="F411" s="15">
        <v>164</v>
      </c>
      <c r="G411" s="11">
        <f>(Compact)*164</f>
        <v>164</v>
      </c>
    </row>
    <row r="412" spans="1:7" x14ac:dyDescent="0.2">
      <c r="A412" s="9" t="s">
        <v>1914</v>
      </c>
      <c r="B412" s="9">
        <v>33</v>
      </c>
      <c r="C412" s="9">
        <v>550</v>
      </c>
      <c r="D412" s="9">
        <v>500</v>
      </c>
      <c r="E412" s="14" t="s">
        <v>1915</v>
      </c>
      <c r="F412" s="15">
        <v>176.91</v>
      </c>
      <c r="G412" s="11">
        <f>(Compact)*176.91</f>
        <v>176.91</v>
      </c>
    </row>
    <row r="413" spans="1:7" x14ac:dyDescent="0.2">
      <c r="A413" s="9" t="s">
        <v>1916</v>
      </c>
      <c r="B413" s="9">
        <v>33</v>
      </c>
      <c r="C413" s="9">
        <v>550</v>
      </c>
      <c r="D413" s="9">
        <v>600</v>
      </c>
      <c r="E413" s="14" t="s">
        <v>1917</v>
      </c>
      <c r="F413" s="15">
        <v>191</v>
      </c>
      <c r="G413" s="11">
        <f>(Compact)*191</f>
        <v>191</v>
      </c>
    </row>
    <row r="414" spans="1:7" x14ac:dyDescent="0.2">
      <c r="A414" s="9" t="s">
        <v>1918</v>
      </c>
      <c r="B414" s="9">
        <v>33</v>
      </c>
      <c r="C414" s="9">
        <v>550</v>
      </c>
      <c r="D414" s="9">
        <v>700</v>
      </c>
      <c r="E414" s="14" t="s">
        <v>1919</v>
      </c>
      <c r="F414" s="15">
        <v>205.95</v>
      </c>
      <c r="G414" s="11">
        <f>(Compact)*205.95</f>
        <v>205.95</v>
      </c>
    </row>
    <row r="415" spans="1:7" x14ac:dyDescent="0.2">
      <c r="A415" s="9" t="s">
        <v>1920</v>
      </c>
      <c r="B415" s="9">
        <v>33</v>
      </c>
      <c r="C415" s="9">
        <v>550</v>
      </c>
      <c r="D415" s="9">
        <v>800</v>
      </c>
      <c r="E415" s="14" t="s">
        <v>1921</v>
      </c>
      <c r="F415" s="15">
        <v>222.25</v>
      </c>
      <c r="G415" s="11">
        <f>(Compact)*222.25</f>
        <v>222.25</v>
      </c>
    </row>
    <row r="416" spans="1:7" x14ac:dyDescent="0.2">
      <c r="A416" s="9" t="s">
        <v>1922</v>
      </c>
      <c r="B416" s="9">
        <v>33</v>
      </c>
      <c r="C416" s="9">
        <v>550</v>
      </c>
      <c r="D416" s="9">
        <v>900</v>
      </c>
      <c r="E416" s="14" t="s">
        <v>1923</v>
      </c>
      <c r="F416" s="15">
        <v>239.68</v>
      </c>
      <c r="G416" s="11">
        <f>(Compact)*239.68</f>
        <v>239.68</v>
      </c>
    </row>
    <row r="417" spans="1:7" x14ac:dyDescent="0.2">
      <c r="A417" s="9" t="s">
        <v>1924</v>
      </c>
      <c r="B417" s="9">
        <v>33</v>
      </c>
      <c r="C417" s="9">
        <v>550</v>
      </c>
      <c r="D417" s="9">
        <v>1000</v>
      </c>
      <c r="E417" s="14" t="s">
        <v>1925</v>
      </c>
      <c r="F417" s="15">
        <v>256.52</v>
      </c>
      <c r="G417" s="11">
        <f>(Compact)*256.52</f>
        <v>256.52</v>
      </c>
    </row>
    <row r="418" spans="1:7" x14ac:dyDescent="0.2">
      <c r="A418" s="9" t="s">
        <v>1926</v>
      </c>
      <c r="B418" s="9">
        <v>33</v>
      </c>
      <c r="C418" s="9">
        <v>550</v>
      </c>
      <c r="D418" s="9">
        <v>1100</v>
      </c>
      <c r="E418" s="14" t="s">
        <v>1927</v>
      </c>
      <c r="F418" s="15">
        <v>273.91000000000003</v>
      </c>
      <c r="G418" s="11">
        <f>(Compact)*273.91</f>
        <v>273.91000000000003</v>
      </c>
    </row>
    <row r="419" spans="1:7" x14ac:dyDescent="0.2">
      <c r="A419" s="9" t="s">
        <v>1928</v>
      </c>
      <c r="B419" s="9">
        <v>33</v>
      </c>
      <c r="C419" s="9">
        <v>550</v>
      </c>
      <c r="D419" s="9">
        <v>1200</v>
      </c>
      <c r="E419" s="14" t="s">
        <v>1929</v>
      </c>
      <c r="F419" s="15">
        <v>291.23</v>
      </c>
      <c r="G419" s="11">
        <f>(Compact)*291.23</f>
        <v>291.23</v>
      </c>
    </row>
    <row r="420" spans="1:7" x14ac:dyDescent="0.2">
      <c r="A420" s="9" t="s">
        <v>1930</v>
      </c>
      <c r="B420" s="9">
        <v>33</v>
      </c>
      <c r="C420" s="9">
        <v>550</v>
      </c>
      <c r="D420" s="9">
        <v>1400</v>
      </c>
      <c r="E420" s="14" t="s">
        <v>1931</v>
      </c>
      <c r="F420" s="15">
        <v>325.55</v>
      </c>
      <c r="G420" s="11">
        <f>(Compact)*325.55</f>
        <v>325.55</v>
      </c>
    </row>
    <row r="421" spans="1:7" x14ac:dyDescent="0.2">
      <c r="A421" s="9" t="s">
        <v>1932</v>
      </c>
      <c r="B421" s="9">
        <v>33</v>
      </c>
      <c r="C421" s="9">
        <v>550</v>
      </c>
      <c r="D421" s="9">
        <v>1600</v>
      </c>
      <c r="E421" s="14" t="s">
        <v>1933</v>
      </c>
      <c r="F421" s="15">
        <v>360.01</v>
      </c>
      <c r="G421" s="11">
        <f>(Compact)*360.01</f>
        <v>360.01</v>
      </c>
    </row>
    <row r="422" spans="1:7" x14ac:dyDescent="0.2">
      <c r="A422" s="9" t="s">
        <v>1934</v>
      </c>
      <c r="B422" s="9">
        <v>33</v>
      </c>
      <c r="C422" s="9">
        <v>550</v>
      </c>
      <c r="D422" s="9">
        <v>1800</v>
      </c>
      <c r="E422" s="14" t="s">
        <v>1935</v>
      </c>
      <c r="F422" s="15">
        <v>394.46</v>
      </c>
      <c r="G422" s="11">
        <f>(Compact)*394.46</f>
        <v>394.46</v>
      </c>
    </row>
    <row r="423" spans="1:7" x14ac:dyDescent="0.2">
      <c r="A423" s="9" t="s">
        <v>1936</v>
      </c>
      <c r="B423" s="9">
        <v>33</v>
      </c>
      <c r="C423" s="9">
        <v>550</v>
      </c>
      <c r="D423" s="9">
        <v>2000</v>
      </c>
      <c r="E423" s="14" t="s">
        <v>1937</v>
      </c>
      <c r="F423" s="15">
        <v>428.95</v>
      </c>
      <c r="G423" s="11">
        <f>(Compact)*428.95</f>
        <v>428.95</v>
      </c>
    </row>
    <row r="424" spans="1:7" x14ac:dyDescent="0.2">
      <c r="A424" s="9" t="s">
        <v>1938</v>
      </c>
      <c r="B424" s="9">
        <v>33</v>
      </c>
      <c r="C424" s="9">
        <v>550</v>
      </c>
      <c r="D424" s="9">
        <v>2300</v>
      </c>
      <c r="E424" s="14" t="s">
        <v>1939</v>
      </c>
      <c r="F424" s="15">
        <v>480.74</v>
      </c>
      <c r="G424" s="11">
        <f>(Compact)*480.74</f>
        <v>480.74</v>
      </c>
    </row>
    <row r="425" spans="1:7" x14ac:dyDescent="0.2">
      <c r="A425" s="9" t="s">
        <v>1940</v>
      </c>
      <c r="B425" s="9">
        <v>33</v>
      </c>
      <c r="C425" s="9">
        <v>550</v>
      </c>
      <c r="D425" s="9">
        <v>2600</v>
      </c>
      <c r="E425" s="14" t="s">
        <v>1941</v>
      </c>
      <c r="F425" s="15">
        <v>532.66999999999996</v>
      </c>
      <c r="G425" s="11">
        <f>(Compact)*532.67</f>
        <v>532.66999999999996</v>
      </c>
    </row>
    <row r="426" spans="1:7" x14ac:dyDescent="0.2">
      <c r="A426" s="9" t="s">
        <v>1942</v>
      </c>
      <c r="B426" s="9">
        <v>33</v>
      </c>
      <c r="C426" s="9">
        <v>550</v>
      </c>
      <c r="D426" s="9">
        <v>3000</v>
      </c>
      <c r="E426" s="14" t="s">
        <v>1943</v>
      </c>
      <c r="F426" s="15">
        <v>589.44000000000005</v>
      </c>
      <c r="G426" s="11">
        <f>(Compact)*589.44</f>
        <v>589.44000000000005</v>
      </c>
    </row>
    <row r="427" spans="1:7" x14ac:dyDescent="0.2">
      <c r="A427" s="9" t="s">
        <v>1944</v>
      </c>
      <c r="B427" s="9">
        <v>33</v>
      </c>
      <c r="C427" s="9">
        <v>600</v>
      </c>
      <c r="D427" s="9">
        <v>400</v>
      </c>
      <c r="E427" s="14" t="s">
        <v>1945</v>
      </c>
      <c r="F427" s="15">
        <v>167.74</v>
      </c>
      <c r="G427" s="11">
        <f>(Compact)*167.74</f>
        <v>167.74</v>
      </c>
    </row>
    <row r="428" spans="1:7" x14ac:dyDescent="0.2">
      <c r="A428" s="9" t="s">
        <v>1946</v>
      </c>
      <c r="B428" s="9">
        <v>33</v>
      </c>
      <c r="C428" s="9">
        <v>600</v>
      </c>
      <c r="D428" s="9">
        <v>500</v>
      </c>
      <c r="E428" s="14" t="s">
        <v>1947</v>
      </c>
      <c r="F428" s="15">
        <v>181.27</v>
      </c>
      <c r="G428" s="11">
        <f>(Compact)*181.27</f>
        <v>181.27</v>
      </c>
    </row>
    <row r="429" spans="1:7" x14ac:dyDescent="0.2">
      <c r="A429" s="9" t="s">
        <v>1948</v>
      </c>
      <c r="B429" s="9">
        <v>33</v>
      </c>
      <c r="C429" s="9">
        <v>600</v>
      </c>
      <c r="D429" s="9">
        <v>600</v>
      </c>
      <c r="E429" s="14" t="s">
        <v>1949</v>
      </c>
      <c r="F429" s="15">
        <v>195.78</v>
      </c>
      <c r="G429" s="11">
        <f>(Compact)*195.78</f>
        <v>195.78</v>
      </c>
    </row>
    <row r="430" spans="1:7" x14ac:dyDescent="0.2">
      <c r="A430" s="9" t="s">
        <v>1950</v>
      </c>
      <c r="B430" s="9">
        <v>33</v>
      </c>
      <c r="C430" s="9">
        <v>600</v>
      </c>
      <c r="D430" s="9">
        <v>700</v>
      </c>
      <c r="E430" s="14" t="s">
        <v>1951</v>
      </c>
      <c r="F430" s="15">
        <v>211.33</v>
      </c>
      <c r="G430" s="11">
        <f>(Compact)*211.33</f>
        <v>211.33</v>
      </c>
    </row>
    <row r="431" spans="1:7" x14ac:dyDescent="0.2">
      <c r="A431" s="9" t="s">
        <v>1952</v>
      </c>
      <c r="B431" s="9">
        <v>33</v>
      </c>
      <c r="C431" s="9">
        <v>600</v>
      </c>
      <c r="D431" s="9">
        <v>800</v>
      </c>
      <c r="E431" s="14" t="s">
        <v>1953</v>
      </c>
      <c r="F431" s="15">
        <v>228.28</v>
      </c>
      <c r="G431" s="11">
        <f>(Compact)*228.28</f>
        <v>228.28</v>
      </c>
    </row>
    <row r="432" spans="1:7" x14ac:dyDescent="0.2">
      <c r="A432" s="9" t="s">
        <v>1954</v>
      </c>
      <c r="B432" s="9">
        <v>33</v>
      </c>
      <c r="C432" s="9">
        <v>600</v>
      </c>
      <c r="D432" s="9">
        <v>900</v>
      </c>
      <c r="E432" s="14" t="s">
        <v>1955</v>
      </c>
      <c r="F432" s="15">
        <v>246.38</v>
      </c>
      <c r="G432" s="11">
        <f>(Compact)*246.38</f>
        <v>246.38</v>
      </c>
    </row>
    <row r="433" spans="1:7" x14ac:dyDescent="0.2">
      <c r="A433" s="9" t="s">
        <v>1956</v>
      </c>
      <c r="B433" s="9">
        <v>33</v>
      </c>
      <c r="C433" s="9">
        <v>600</v>
      </c>
      <c r="D433" s="9">
        <v>1000</v>
      </c>
      <c r="E433" s="14" t="s">
        <v>1957</v>
      </c>
      <c r="F433" s="15">
        <v>264.11</v>
      </c>
      <c r="G433" s="11">
        <f>(Compact)*264.11</f>
        <v>264.11</v>
      </c>
    </row>
    <row r="434" spans="1:7" x14ac:dyDescent="0.2">
      <c r="A434" s="9" t="s">
        <v>1958</v>
      </c>
      <c r="B434" s="9">
        <v>33</v>
      </c>
      <c r="C434" s="9">
        <v>600</v>
      </c>
      <c r="D434" s="9">
        <v>1100</v>
      </c>
      <c r="E434" s="14" t="s">
        <v>1959</v>
      </c>
      <c r="F434" s="15">
        <v>282.23</v>
      </c>
      <c r="G434" s="11">
        <f>(Compact)*282.23</f>
        <v>282.23</v>
      </c>
    </row>
    <row r="435" spans="1:7" x14ac:dyDescent="0.2">
      <c r="A435" s="9" t="s">
        <v>1960</v>
      </c>
      <c r="B435" s="9">
        <v>33</v>
      </c>
      <c r="C435" s="9">
        <v>600</v>
      </c>
      <c r="D435" s="9">
        <v>1200</v>
      </c>
      <c r="E435" s="14" t="s">
        <v>1961</v>
      </c>
      <c r="F435" s="15">
        <v>300.39</v>
      </c>
      <c r="G435" s="11">
        <f>(Compact)*300.39</f>
        <v>300.39</v>
      </c>
    </row>
    <row r="436" spans="1:7" x14ac:dyDescent="0.2">
      <c r="A436" s="9" t="s">
        <v>1962</v>
      </c>
      <c r="B436" s="9">
        <v>33</v>
      </c>
      <c r="C436" s="9">
        <v>600</v>
      </c>
      <c r="D436" s="9">
        <v>1400</v>
      </c>
      <c r="E436" s="14" t="s">
        <v>1963</v>
      </c>
      <c r="F436" s="15">
        <v>336.16</v>
      </c>
      <c r="G436" s="11">
        <f>(Compact)*336.16</f>
        <v>336.16</v>
      </c>
    </row>
    <row r="437" spans="1:7" x14ac:dyDescent="0.2">
      <c r="A437" s="9" t="s">
        <v>1964</v>
      </c>
      <c r="B437" s="9">
        <v>33</v>
      </c>
      <c r="C437" s="9">
        <v>600</v>
      </c>
      <c r="D437" s="9">
        <v>1600</v>
      </c>
      <c r="E437" s="14" t="s">
        <v>1965</v>
      </c>
      <c r="F437" s="15">
        <v>372.28</v>
      </c>
      <c r="G437" s="11">
        <f>(Compact)*372.28</f>
        <v>372.28</v>
      </c>
    </row>
    <row r="438" spans="1:7" x14ac:dyDescent="0.2">
      <c r="A438" s="9" t="s">
        <v>1966</v>
      </c>
      <c r="B438" s="9">
        <v>33</v>
      </c>
      <c r="C438" s="9">
        <v>600</v>
      </c>
      <c r="D438" s="9">
        <v>1800</v>
      </c>
      <c r="E438" s="14" t="s">
        <v>1967</v>
      </c>
      <c r="F438" s="15">
        <v>408.58</v>
      </c>
      <c r="G438" s="11">
        <f>(Compact)*408.58</f>
        <v>408.58</v>
      </c>
    </row>
    <row r="439" spans="1:7" x14ac:dyDescent="0.2">
      <c r="A439" s="9" t="s">
        <v>1968</v>
      </c>
      <c r="B439" s="9">
        <v>33</v>
      </c>
      <c r="C439" s="9">
        <v>600</v>
      </c>
      <c r="D439" s="9">
        <v>2000</v>
      </c>
      <c r="E439" s="14" t="s">
        <v>1969</v>
      </c>
      <c r="F439" s="15">
        <v>444.12</v>
      </c>
      <c r="G439" s="11">
        <f>(Compact)*444.12</f>
        <v>444.12</v>
      </c>
    </row>
    <row r="440" spans="1:7" x14ac:dyDescent="0.2">
      <c r="A440" s="9" t="s">
        <v>1970</v>
      </c>
      <c r="B440" s="9">
        <v>33</v>
      </c>
      <c r="C440" s="9">
        <v>600</v>
      </c>
      <c r="D440" s="9">
        <v>2300</v>
      </c>
      <c r="E440" s="14" t="s">
        <v>1971</v>
      </c>
      <c r="F440" s="15">
        <v>498.62</v>
      </c>
      <c r="G440" s="11">
        <f>(Compact)*498.62</f>
        <v>498.62</v>
      </c>
    </row>
    <row r="441" spans="1:7" x14ac:dyDescent="0.2">
      <c r="A441" s="9" t="s">
        <v>1972</v>
      </c>
      <c r="B441" s="9">
        <v>33</v>
      </c>
      <c r="C441" s="9">
        <v>600</v>
      </c>
      <c r="D441" s="9">
        <v>2600</v>
      </c>
      <c r="E441" s="14" t="s">
        <v>1973</v>
      </c>
      <c r="F441" s="15">
        <v>552.84</v>
      </c>
      <c r="G441" s="11">
        <f>(Compact)*552.84</f>
        <v>552.84</v>
      </c>
    </row>
    <row r="442" spans="1:7" x14ac:dyDescent="0.2">
      <c r="A442" s="9" t="s">
        <v>1974</v>
      </c>
      <c r="B442" s="9">
        <v>33</v>
      </c>
      <c r="C442" s="9">
        <v>600</v>
      </c>
      <c r="D442" s="9">
        <v>3000</v>
      </c>
      <c r="E442" s="14" t="s">
        <v>1975</v>
      </c>
      <c r="F442" s="15">
        <v>612.62</v>
      </c>
      <c r="G442" s="11">
        <f>(Compact)*612.62</f>
        <v>612.62</v>
      </c>
    </row>
    <row r="443" spans="1:7" x14ac:dyDescent="0.2">
      <c r="A443" s="9" t="s">
        <v>1976</v>
      </c>
      <c r="B443" s="9">
        <v>33</v>
      </c>
      <c r="C443" s="9">
        <v>900</v>
      </c>
      <c r="D443" s="9">
        <v>400</v>
      </c>
      <c r="E443" s="14" t="s">
        <v>1977</v>
      </c>
      <c r="F443" s="15">
        <v>174.25</v>
      </c>
      <c r="G443" s="11">
        <f>(Compact)*174.25</f>
        <v>174.25</v>
      </c>
    </row>
    <row r="444" spans="1:7" x14ac:dyDescent="0.2">
      <c r="A444" s="9" t="s">
        <v>1978</v>
      </c>
      <c r="B444" s="9">
        <v>33</v>
      </c>
      <c r="C444" s="9">
        <v>900</v>
      </c>
      <c r="D444" s="9">
        <v>500</v>
      </c>
      <c r="E444" s="14" t="s">
        <v>1979</v>
      </c>
      <c r="F444" s="15">
        <v>197.72</v>
      </c>
      <c r="G444" s="11">
        <f>(Compact)*197.72</f>
        <v>197.72</v>
      </c>
    </row>
    <row r="445" spans="1:7" x14ac:dyDescent="0.2">
      <c r="A445" s="9" t="s">
        <v>1980</v>
      </c>
      <c r="B445" s="9">
        <v>33</v>
      </c>
      <c r="C445" s="9">
        <v>900</v>
      </c>
      <c r="D445" s="9">
        <v>600</v>
      </c>
      <c r="E445" s="14" t="s">
        <v>1981</v>
      </c>
      <c r="F445" s="15">
        <v>224.42</v>
      </c>
      <c r="G445" s="11">
        <f>(Compact)*224.42</f>
        <v>224.42</v>
      </c>
    </row>
    <row r="446" spans="1:7" x14ac:dyDescent="0.2">
      <c r="A446" s="9" t="s">
        <v>1982</v>
      </c>
      <c r="B446" s="9">
        <v>33</v>
      </c>
      <c r="C446" s="9">
        <v>900</v>
      </c>
      <c r="D446" s="9">
        <v>700</v>
      </c>
      <c r="E446" s="14" t="s">
        <v>1983</v>
      </c>
      <c r="F446" s="15">
        <v>254.39</v>
      </c>
      <c r="G446" s="11">
        <f>(Compact)*254.39</f>
        <v>254.39</v>
      </c>
    </row>
    <row r="447" spans="1:7" x14ac:dyDescent="0.2">
      <c r="A447" s="9" t="s">
        <v>1984</v>
      </c>
      <c r="B447" s="9">
        <v>33</v>
      </c>
      <c r="C447" s="9">
        <v>900</v>
      </c>
      <c r="D447" s="9">
        <v>800</v>
      </c>
      <c r="E447" s="14" t="s">
        <v>1985</v>
      </c>
      <c r="F447" s="15">
        <v>287.75</v>
      </c>
      <c r="G447" s="11">
        <f>(Compact)*287.75</f>
        <v>287.75</v>
      </c>
    </row>
    <row r="448" spans="1:7" x14ac:dyDescent="0.2">
      <c r="A448" s="9" t="s">
        <v>1986</v>
      </c>
      <c r="B448" s="9">
        <v>33</v>
      </c>
      <c r="C448" s="9">
        <v>900</v>
      </c>
      <c r="D448" s="9">
        <v>900</v>
      </c>
      <c r="E448" s="14" t="s">
        <v>1987</v>
      </c>
      <c r="F448" s="15">
        <v>308.39</v>
      </c>
      <c r="G448" s="11">
        <f>(Compact)*308.39</f>
        <v>308.39</v>
      </c>
    </row>
    <row r="449" spans="1:7" x14ac:dyDescent="0.2">
      <c r="A449" s="9" t="s">
        <v>1988</v>
      </c>
      <c r="B449" s="9">
        <v>33</v>
      </c>
      <c r="C449" s="9">
        <v>900</v>
      </c>
      <c r="D449" s="9">
        <v>1000</v>
      </c>
      <c r="E449" s="14" t="s">
        <v>1989</v>
      </c>
      <c r="F449" s="15">
        <v>330.39</v>
      </c>
      <c r="G449" s="11">
        <f>(Compact)*330.39</f>
        <v>330.39</v>
      </c>
    </row>
    <row r="450" spans="1:7" x14ac:dyDescent="0.2">
      <c r="A450" s="9" t="s">
        <v>1990</v>
      </c>
      <c r="B450" s="9">
        <v>33</v>
      </c>
      <c r="C450" s="9">
        <v>900</v>
      </c>
      <c r="D450" s="9">
        <v>1100</v>
      </c>
      <c r="E450" s="14" t="s">
        <v>1991</v>
      </c>
      <c r="F450" s="15">
        <v>353.87</v>
      </c>
      <c r="G450" s="11">
        <f>(Compact)*353.87</f>
        <v>353.87</v>
      </c>
    </row>
    <row r="451" spans="1:7" x14ac:dyDescent="0.2">
      <c r="A451" s="9" t="s">
        <v>1992</v>
      </c>
      <c r="B451" s="9">
        <v>33</v>
      </c>
      <c r="C451" s="9">
        <v>900</v>
      </c>
      <c r="D451" s="9">
        <v>1200</v>
      </c>
      <c r="E451" s="14" t="s">
        <v>1993</v>
      </c>
      <c r="F451" s="15">
        <v>379.26</v>
      </c>
      <c r="G451" s="11">
        <f>(Compact)*379.26</f>
        <v>379.26</v>
      </c>
    </row>
    <row r="452" spans="1:7" x14ac:dyDescent="0.2">
      <c r="A452" s="9" t="s">
        <v>1994</v>
      </c>
      <c r="B452" s="9">
        <v>33</v>
      </c>
      <c r="C452" s="9">
        <v>900</v>
      </c>
      <c r="D452" s="9">
        <v>1400</v>
      </c>
      <c r="E452" s="14" t="s">
        <v>1995</v>
      </c>
      <c r="F452" s="15">
        <v>423.08</v>
      </c>
      <c r="G452" s="11">
        <f>(Compact)*423.08</f>
        <v>423.08</v>
      </c>
    </row>
    <row r="453" spans="1:7" x14ac:dyDescent="0.2">
      <c r="A453" s="9" t="s">
        <v>1996</v>
      </c>
      <c r="B453" s="9">
        <v>33</v>
      </c>
      <c r="C453" s="9">
        <v>900</v>
      </c>
      <c r="D453" s="9">
        <v>1600</v>
      </c>
      <c r="E453" s="14" t="s">
        <v>1997</v>
      </c>
      <c r="F453" s="15">
        <v>465.9</v>
      </c>
      <c r="G453" s="11">
        <f>(Compact)*465.9</f>
        <v>465.9</v>
      </c>
    </row>
    <row r="454" spans="1:7" x14ac:dyDescent="0.2">
      <c r="A454" s="9" t="s">
        <v>1998</v>
      </c>
      <c r="B454" s="9">
        <v>33</v>
      </c>
      <c r="C454" s="9">
        <v>900</v>
      </c>
      <c r="D454" s="9">
        <v>1800</v>
      </c>
      <c r="E454" s="14" t="s">
        <v>1999</v>
      </c>
      <c r="F454" s="15">
        <v>513.12</v>
      </c>
      <c r="G454" s="11">
        <f>(Compact)*513.12</f>
        <v>513.12</v>
      </c>
    </row>
    <row r="455" spans="1:7" x14ac:dyDescent="0.2">
      <c r="A455" s="9" t="s">
        <v>2000</v>
      </c>
      <c r="B455" s="9">
        <v>33</v>
      </c>
      <c r="C455" s="9">
        <v>900</v>
      </c>
      <c r="D455" s="9">
        <v>2000</v>
      </c>
      <c r="E455" s="14" t="s">
        <v>2001</v>
      </c>
      <c r="F455" s="15">
        <v>554.49</v>
      </c>
      <c r="G455" s="11">
        <f>(Compact)*554.49</f>
        <v>554.49</v>
      </c>
    </row>
    <row r="456" spans="1:7" x14ac:dyDescent="0.2">
      <c r="A456" s="9" t="s">
        <v>2002</v>
      </c>
      <c r="B456" s="9">
        <v>33</v>
      </c>
      <c r="C456" s="9">
        <v>900</v>
      </c>
      <c r="D456" s="9">
        <v>2300</v>
      </c>
      <c r="E456" s="14" t="s">
        <v>2003</v>
      </c>
      <c r="F456" s="15">
        <v>599.28</v>
      </c>
      <c r="G456" s="11">
        <f>(Compact)*599.28</f>
        <v>599.28</v>
      </c>
    </row>
    <row r="457" spans="1:7" x14ac:dyDescent="0.2">
      <c r="A457" s="9" t="s">
        <v>2004</v>
      </c>
      <c r="B457" s="9">
        <v>33</v>
      </c>
      <c r="C457" s="9">
        <v>900</v>
      </c>
      <c r="D457" s="9">
        <v>2600</v>
      </c>
      <c r="E457" s="14" t="s">
        <v>2005</v>
      </c>
      <c r="F457" s="15">
        <v>663.93</v>
      </c>
      <c r="G457" s="11">
        <f>(Compact)*663.93</f>
        <v>663.93</v>
      </c>
    </row>
    <row r="458" spans="1:7" x14ac:dyDescent="0.2">
      <c r="A458" s="9" t="s">
        <v>2006</v>
      </c>
      <c r="B458" s="9">
        <v>33</v>
      </c>
      <c r="C458" s="9">
        <v>900</v>
      </c>
      <c r="D458" s="9">
        <v>3000</v>
      </c>
      <c r="E458" s="14" t="s">
        <v>2007</v>
      </c>
      <c r="F458" s="15">
        <v>736.07</v>
      </c>
      <c r="G458" s="11">
        <f>(Compact)*736.07</f>
        <v>736.07</v>
      </c>
    </row>
    <row r="459" spans="1:7" x14ac:dyDescent="0.2"/>
    <row r="460" spans="1:7" x14ac:dyDescent="0.2"/>
  </sheetData>
  <autoFilter ref="A10:J458"/>
  <hyperlinks>
    <hyperlink ref="C3" r:id="rId1"/>
  </hyperlinks>
  <pageMargins left="0.7" right="0.7" top="0.75" bottom="0.75" header="0.3" footer="0.3"/>
  <pageSetup paperSize="9" orientation="portrait" horizontalDpi="4294967295" verticalDpi="4294967295" r:id="rId2"/>
  <ignoredErrors>
    <ignoredError sqref="A11:A458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8"/>
  <sheetViews>
    <sheetView workbookViewId="0">
      <pane ySplit="10" topLeftCell="A11" activePane="bottomLeft" state="frozen"/>
      <selection activeCell="A2" sqref="A2"/>
      <selection pane="bottomLeft" activeCell="A659" sqref="A659:XFD1048576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7109375" style="2" bestFit="1" customWidth="1"/>
    <col min="4" max="4" width="11.42578125" style="2" customWidth="1"/>
    <col min="5" max="5" width="26" style="2" bestFit="1" customWidth="1"/>
    <col min="6" max="6" width="18.85546875" style="2" bestFit="1" customWidth="1"/>
    <col min="7" max="7" width="21.28515625" style="2" customWidth="1"/>
    <col min="8" max="8" width="5.7109375" style="2" hidden="1" customWidth="1"/>
    <col min="9" max="9" width="20.5703125" style="2" hidden="1" customWidth="1"/>
    <col min="10" max="10" width="6.85546875" style="2" hidden="1" customWidth="1"/>
    <col min="11" max="12" width="9.140625" style="2" customWidth="1"/>
    <col min="13" max="15" width="0" style="2" hidden="1"/>
    <col min="16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5347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ht="21" customHeight="1" x14ac:dyDescent="0.2">
      <c r="A9" s="1" t="s">
        <v>5331</v>
      </c>
      <c r="F9" s="3" t="s">
        <v>5328</v>
      </c>
      <c r="G9" s="4">
        <v>0</v>
      </c>
      <c r="H9" s="5">
        <f>(1-G9)</f>
        <v>1</v>
      </c>
      <c r="I9" s="5"/>
      <c r="J9" s="5"/>
    </row>
    <row r="10" spans="1:11" s="8" customFormat="1" x14ac:dyDescent="0.2">
      <c r="A10" s="6" t="s">
        <v>5326</v>
      </c>
      <c r="B10" s="6" t="s">
        <v>5332</v>
      </c>
      <c r="C10" s="6" t="s">
        <v>5335</v>
      </c>
      <c r="D10" s="6" t="s">
        <v>5334</v>
      </c>
      <c r="E10" s="6" t="s">
        <v>5327</v>
      </c>
      <c r="F10" s="6" t="s">
        <v>5329</v>
      </c>
      <c r="G10" s="7" t="s">
        <v>5330</v>
      </c>
      <c r="I10" s="8" t="s">
        <v>5261</v>
      </c>
      <c r="J10" s="8" t="s">
        <v>5260</v>
      </c>
    </row>
    <row r="11" spans="1:11" x14ac:dyDescent="0.2">
      <c r="A11" s="8" t="s">
        <v>2008</v>
      </c>
      <c r="B11" s="8">
        <v>11</v>
      </c>
      <c r="C11" s="8">
        <v>300</v>
      </c>
      <c r="D11" s="8">
        <v>400</v>
      </c>
      <c r="E11" s="2" t="s">
        <v>2009</v>
      </c>
      <c r="F11" s="10">
        <v>77.13</v>
      </c>
      <c r="G11" s="11">
        <f>(CV)*77.13</f>
        <v>77.13</v>
      </c>
    </row>
    <row r="12" spans="1:11" x14ac:dyDescent="0.2">
      <c r="A12" s="8" t="s">
        <v>4120</v>
      </c>
      <c r="B12" s="8">
        <v>11</v>
      </c>
      <c r="C12" s="8">
        <v>300</v>
      </c>
      <c r="D12" s="8">
        <v>400</v>
      </c>
      <c r="E12" s="2" t="s">
        <v>4121</v>
      </c>
      <c r="F12" s="10">
        <v>77.13</v>
      </c>
      <c r="G12" s="11">
        <f>(CV)*77.13</f>
        <v>77.13</v>
      </c>
    </row>
    <row r="13" spans="1:11" x14ac:dyDescent="0.2">
      <c r="A13" s="8" t="s">
        <v>2010</v>
      </c>
      <c r="B13" s="8">
        <v>11</v>
      </c>
      <c r="C13" s="8">
        <v>300</v>
      </c>
      <c r="D13" s="8">
        <v>500</v>
      </c>
      <c r="E13" s="2" t="s">
        <v>2011</v>
      </c>
      <c r="F13" s="10">
        <v>79.959999999999994</v>
      </c>
      <c r="G13" s="11">
        <f>(CV)*79.96</f>
        <v>79.959999999999994</v>
      </c>
    </row>
    <row r="14" spans="1:11" x14ac:dyDescent="0.2">
      <c r="A14" s="8" t="s">
        <v>4122</v>
      </c>
      <c r="B14" s="8">
        <v>11</v>
      </c>
      <c r="C14" s="8">
        <v>300</v>
      </c>
      <c r="D14" s="8">
        <v>500</v>
      </c>
      <c r="E14" s="2" t="s">
        <v>4123</v>
      </c>
      <c r="F14" s="10">
        <v>79.959999999999994</v>
      </c>
      <c r="G14" s="11">
        <f>(CV)*79.96</f>
        <v>79.959999999999994</v>
      </c>
    </row>
    <row r="15" spans="1:11" x14ac:dyDescent="0.2">
      <c r="A15" s="8" t="s">
        <v>2012</v>
      </c>
      <c r="B15" s="8">
        <v>11</v>
      </c>
      <c r="C15" s="8">
        <v>300</v>
      </c>
      <c r="D15" s="8">
        <v>600</v>
      </c>
      <c r="E15" s="2" t="s">
        <v>2013</v>
      </c>
      <c r="F15" s="10">
        <v>83.06</v>
      </c>
      <c r="G15" s="11">
        <f>(CV)*83.06</f>
        <v>83.06</v>
      </c>
    </row>
    <row r="16" spans="1:11" x14ac:dyDescent="0.2">
      <c r="A16" s="8" t="s">
        <v>4124</v>
      </c>
      <c r="B16" s="8">
        <v>11</v>
      </c>
      <c r="C16" s="8">
        <v>300</v>
      </c>
      <c r="D16" s="8">
        <v>600</v>
      </c>
      <c r="E16" s="2" t="s">
        <v>4125</v>
      </c>
      <c r="F16" s="10">
        <v>83.06</v>
      </c>
      <c r="G16" s="11">
        <f>(CV)*83.06</f>
        <v>83.06</v>
      </c>
    </row>
    <row r="17" spans="1:7" x14ac:dyDescent="0.2">
      <c r="A17" s="8" t="s">
        <v>2014</v>
      </c>
      <c r="B17" s="8">
        <v>11</v>
      </c>
      <c r="C17" s="8">
        <v>300</v>
      </c>
      <c r="D17" s="8">
        <v>700</v>
      </c>
      <c r="E17" s="2" t="s">
        <v>2015</v>
      </c>
      <c r="F17" s="10">
        <v>85.41</v>
      </c>
      <c r="G17" s="11">
        <f>(CV)*85.41</f>
        <v>85.41</v>
      </c>
    </row>
    <row r="18" spans="1:7" x14ac:dyDescent="0.2">
      <c r="A18" s="8" t="s">
        <v>4126</v>
      </c>
      <c r="B18" s="8">
        <v>11</v>
      </c>
      <c r="C18" s="8">
        <v>300</v>
      </c>
      <c r="D18" s="8">
        <v>700</v>
      </c>
      <c r="E18" s="2" t="s">
        <v>4127</v>
      </c>
      <c r="F18" s="10">
        <v>85.41</v>
      </c>
      <c r="G18" s="11">
        <f>(CV)*85.41</f>
        <v>85.41</v>
      </c>
    </row>
    <row r="19" spans="1:7" x14ac:dyDescent="0.2">
      <c r="A19" s="8" t="s">
        <v>2016</v>
      </c>
      <c r="B19" s="8">
        <v>11</v>
      </c>
      <c r="C19" s="8">
        <v>300</v>
      </c>
      <c r="D19" s="8">
        <v>800</v>
      </c>
      <c r="E19" s="2" t="s">
        <v>2017</v>
      </c>
      <c r="F19" s="10">
        <v>88.03</v>
      </c>
      <c r="G19" s="11">
        <f>(CV)*88.03</f>
        <v>88.03</v>
      </c>
    </row>
    <row r="20" spans="1:7" x14ac:dyDescent="0.2">
      <c r="A20" s="8" t="s">
        <v>4128</v>
      </c>
      <c r="B20" s="8">
        <v>11</v>
      </c>
      <c r="C20" s="8">
        <v>300</v>
      </c>
      <c r="D20" s="8">
        <v>800</v>
      </c>
      <c r="E20" s="2" t="s">
        <v>4129</v>
      </c>
      <c r="F20" s="10">
        <v>88.03</v>
      </c>
      <c r="G20" s="11">
        <f>(CV)*88.03</f>
        <v>88.03</v>
      </c>
    </row>
    <row r="21" spans="1:7" x14ac:dyDescent="0.2">
      <c r="A21" s="8" t="s">
        <v>2018</v>
      </c>
      <c r="B21" s="8">
        <v>11</v>
      </c>
      <c r="C21" s="8">
        <v>300</v>
      </c>
      <c r="D21" s="8">
        <v>900</v>
      </c>
      <c r="E21" s="2" t="s">
        <v>2019</v>
      </c>
      <c r="F21" s="10">
        <v>91.8</v>
      </c>
      <c r="G21" s="11">
        <f>(CV)*91.8</f>
        <v>91.8</v>
      </c>
    </row>
    <row r="22" spans="1:7" x14ac:dyDescent="0.2">
      <c r="A22" s="8" t="s">
        <v>4130</v>
      </c>
      <c r="B22" s="8">
        <v>11</v>
      </c>
      <c r="C22" s="8">
        <v>300</v>
      </c>
      <c r="D22" s="8">
        <v>900</v>
      </c>
      <c r="E22" s="2" t="s">
        <v>4131</v>
      </c>
      <c r="F22" s="10">
        <v>91.8</v>
      </c>
      <c r="G22" s="11">
        <f>(CV)*91.8</f>
        <v>91.8</v>
      </c>
    </row>
    <row r="23" spans="1:7" x14ac:dyDescent="0.2">
      <c r="A23" s="8" t="s">
        <v>2020</v>
      </c>
      <c r="B23" s="8">
        <v>11</v>
      </c>
      <c r="C23" s="8">
        <v>300</v>
      </c>
      <c r="D23" s="8">
        <v>1000</v>
      </c>
      <c r="E23" s="2" t="s">
        <v>2021</v>
      </c>
      <c r="F23" s="10">
        <v>94.53</v>
      </c>
      <c r="G23" s="11">
        <f>(CV)*94.53</f>
        <v>94.53</v>
      </c>
    </row>
    <row r="24" spans="1:7" x14ac:dyDescent="0.2">
      <c r="A24" s="8" t="s">
        <v>4132</v>
      </c>
      <c r="B24" s="8">
        <v>11</v>
      </c>
      <c r="C24" s="8">
        <v>300</v>
      </c>
      <c r="D24" s="8">
        <v>1000</v>
      </c>
      <c r="E24" s="2" t="s">
        <v>4133</v>
      </c>
      <c r="F24" s="10">
        <v>94.53</v>
      </c>
      <c r="G24" s="11">
        <f>(CV)*94.53</f>
        <v>94.53</v>
      </c>
    </row>
    <row r="25" spans="1:7" x14ac:dyDescent="0.2">
      <c r="A25" s="8" t="s">
        <v>2022</v>
      </c>
      <c r="B25" s="8">
        <v>11</v>
      </c>
      <c r="C25" s="8">
        <v>300</v>
      </c>
      <c r="D25" s="8">
        <v>1100</v>
      </c>
      <c r="E25" s="2" t="s">
        <v>2023</v>
      </c>
      <c r="F25" s="10">
        <v>100</v>
      </c>
      <c r="G25" s="11">
        <f>(CV)*100</f>
        <v>100</v>
      </c>
    </row>
    <row r="26" spans="1:7" x14ac:dyDescent="0.2">
      <c r="A26" s="8" t="s">
        <v>4134</v>
      </c>
      <c r="B26" s="8">
        <v>11</v>
      </c>
      <c r="C26" s="8">
        <v>300</v>
      </c>
      <c r="D26" s="8">
        <v>1100</v>
      </c>
      <c r="E26" s="2" t="s">
        <v>4135</v>
      </c>
      <c r="F26" s="10">
        <v>100</v>
      </c>
      <c r="G26" s="11">
        <f>(CV)*100</f>
        <v>100</v>
      </c>
    </row>
    <row r="27" spans="1:7" x14ac:dyDescent="0.2">
      <c r="A27" s="8" t="s">
        <v>2024</v>
      </c>
      <c r="B27" s="8">
        <v>11</v>
      </c>
      <c r="C27" s="8">
        <v>300</v>
      </c>
      <c r="D27" s="8">
        <v>1200</v>
      </c>
      <c r="E27" s="2" t="s">
        <v>2025</v>
      </c>
      <c r="F27" s="10">
        <v>103.76</v>
      </c>
      <c r="G27" s="11">
        <f>(CV)*103.76</f>
        <v>103.76</v>
      </c>
    </row>
    <row r="28" spans="1:7" x14ac:dyDescent="0.2">
      <c r="A28" s="8" t="s">
        <v>4136</v>
      </c>
      <c r="B28" s="8">
        <v>11</v>
      </c>
      <c r="C28" s="8">
        <v>300</v>
      </c>
      <c r="D28" s="8">
        <v>1200</v>
      </c>
      <c r="E28" s="2" t="s">
        <v>4137</v>
      </c>
      <c r="F28" s="10">
        <v>103.76</v>
      </c>
      <c r="G28" s="11">
        <f>(CV)*103.76</f>
        <v>103.76</v>
      </c>
    </row>
    <row r="29" spans="1:7" x14ac:dyDescent="0.2">
      <c r="A29" s="8" t="s">
        <v>2026</v>
      </c>
      <c r="B29" s="8">
        <v>11</v>
      </c>
      <c r="C29" s="8">
        <v>300</v>
      </c>
      <c r="D29" s="8">
        <v>1400</v>
      </c>
      <c r="E29" s="2" t="s">
        <v>2027</v>
      </c>
      <c r="F29" s="10">
        <v>118.61</v>
      </c>
      <c r="G29" s="11">
        <f>(CV)*118.61</f>
        <v>118.61</v>
      </c>
    </row>
    <row r="30" spans="1:7" x14ac:dyDescent="0.2">
      <c r="A30" s="8" t="s">
        <v>4138</v>
      </c>
      <c r="B30" s="8">
        <v>11</v>
      </c>
      <c r="C30" s="8">
        <v>300</v>
      </c>
      <c r="D30" s="8">
        <v>1400</v>
      </c>
      <c r="E30" s="2" t="s">
        <v>4139</v>
      </c>
      <c r="F30" s="10">
        <v>118.61</v>
      </c>
      <c r="G30" s="11">
        <f>(CV)*118.61</f>
        <v>118.61</v>
      </c>
    </row>
    <row r="31" spans="1:7" x14ac:dyDescent="0.2">
      <c r="A31" s="8" t="s">
        <v>2028</v>
      </c>
      <c r="B31" s="8">
        <v>11</v>
      </c>
      <c r="C31" s="8">
        <v>300</v>
      </c>
      <c r="D31" s="8">
        <v>1600</v>
      </c>
      <c r="E31" s="2" t="s">
        <v>2029</v>
      </c>
      <c r="F31" s="10">
        <v>125.85</v>
      </c>
      <c r="G31" s="11">
        <f>(CV)*125.85</f>
        <v>125.85</v>
      </c>
    </row>
    <row r="32" spans="1:7" x14ac:dyDescent="0.2">
      <c r="A32" s="8" t="s">
        <v>4140</v>
      </c>
      <c r="B32" s="8">
        <v>11</v>
      </c>
      <c r="C32" s="8">
        <v>300</v>
      </c>
      <c r="D32" s="8">
        <v>1600</v>
      </c>
      <c r="E32" s="2" t="s">
        <v>4141</v>
      </c>
      <c r="F32" s="10">
        <v>125.85</v>
      </c>
      <c r="G32" s="11">
        <f>(CV)*125.85</f>
        <v>125.85</v>
      </c>
    </row>
    <row r="33" spans="1:7" x14ac:dyDescent="0.2">
      <c r="A33" s="8" t="s">
        <v>2030</v>
      </c>
      <c r="B33" s="8">
        <v>11</v>
      </c>
      <c r="C33" s="8">
        <v>300</v>
      </c>
      <c r="D33" s="8">
        <v>1800</v>
      </c>
      <c r="E33" s="2" t="s">
        <v>2031</v>
      </c>
      <c r="F33" s="10">
        <v>137.61000000000001</v>
      </c>
      <c r="G33" s="11">
        <f>(CV)*137.61</f>
        <v>137.61000000000001</v>
      </c>
    </row>
    <row r="34" spans="1:7" x14ac:dyDescent="0.2">
      <c r="A34" s="8" t="s">
        <v>4142</v>
      </c>
      <c r="B34" s="8">
        <v>11</v>
      </c>
      <c r="C34" s="8">
        <v>300</v>
      </c>
      <c r="D34" s="8">
        <v>1800</v>
      </c>
      <c r="E34" s="2" t="s">
        <v>4143</v>
      </c>
      <c r="F34" s="10">
        <v>137.61000000000001</v>
      </c>
      <c r="G34" s="11">
        <f>(CV)*137.61</f>
        <v>137.61000000000001</v>
      </c>
    </row>
    <row r="35" spans="1:7" x14ac:dyDescent="0.2">
      <c r="A35" s="8" t="s">
        <v>2032</v>
      </c>
      <c r="B35" s="8">
        <v>11</v>
      </c>
      <c r="C35" s="8">
        <v>300</v>
      </c>
      <c r="D35" s="8">
        <v>2000</v>
      </c>
      <c r="E35" s="2" t="s">
        <v>2033</v>
      </c>
      <c r="F35" s="10">
        <v>144.74</v>
      </c>
      <c r="G35" s="11">
        <f>(CV)*144.74</f>
        <v>144.74</v>
      </c>
    </row>
    <row r="36" spans="1:7" x14ac:dyDescent="0.2">
      <c r="A36" s="8" t="s">
        <v>4144</v>
      </c>
      <c r="B36" s="8">
        <v>11</v>
      </c>
      <c r="C36" s="8">
        <v>300</v>
      </c>
      <c r="D36" s="8">
        <v>2000</v>
      </c>
      <c r="E36" s="2" t="s">
        <v>4145</v>
      </c>
      <c r="F36" s="10">
        <v>144.74</v>
      </c>
      <c r="G36" s="11">
        <f>(CV)*144.74</f>
        <v>144.74</v>
      </c>
    </row>
    <row r="37" spans="1:7" x14ac:dyDescent="0.2">
      <c r="A37" s="8" t="s">
        <v>2034</v>
      </c>
      <c r="B37" s="8">
        <v>11</v>
      </c>
      <c r="C37" s="8">
        <v>300</v>
      </c>
      <c r="D37" s="8">
        <v>2300</v>
      </c>
      <c r="E37" s="2" t="s">
        <v>2035</v>
      </c>
      <c r="F37" s="10">
        <v>157.84</v>
      </c>
      <c r="G37" s="11">
        <f>(CV)*157.84</f>
        <v>157.84</v>
      </c>
    </row>
    <row r="38" spans="1:7" x14ac:dyDescent="0.2">
      <c r="A38" s="8" t="s">
        <v>4146</v>
      </c>
      <c r="B38" s="8">
        <v>11</v>
      </c>
      <c r="C38" s="8">
        <v>300</v>
      </c>
      <c r="D38" s="8">
        <v>2300</v>
      </c>
      <c r="E38" s="2" t="s">
        <v>4147</v>
      </c>
      <c r="F38" s="10">
        <v>157.84</v>
      </c>
      <c r="G38" s="11">
        <f>(CV)*157.84</f>
        <v>157.84</v>
      </c>
    </row>
    <row r="39" spans="1:7" x14ac:dyDescent="0.2">
      <c r="A39" s="8" t="s">
        <v>2036</v>
      </c>
      <c r="B39" s="8">
        <v>11</v>
      </c>
      <c r="C39" s="8">
        <v>300</v>
      </c>
      <c r="D39" s="8">
        <v>2600</v>
      </c>
      <c r="E39" s="2" t="s">
        <v>2037</v>
      </c>
      <c r="F39" s="10">
        <v>169.03</v>
      </c>
      <c r="G39" s="11">
        <f>(CV)*169.03</f>
        <v>169.03</v>
      </c>
    </row>
    <row r="40" spans="1:7" x14ac:dyDescent="0.2">
      <c r="A40" s="8" t="s">
        <v>4148</v>
      </c>
      <c r="B40" s="8">
        <v>11</v>
      </c>
      <c r="C40" s="8">
        <v>300</v>
      </c>
      <c r="D40" s="8">
        <v>2600</v>
      </c>
      <c r="E40" s="2" t="s">
        <v>4149</v>
      </c>
      <c r="F40" s="10">
        <v>169.03</v>
      </c>
      <c r="G40" s="11">
        <f>(CV)*169.03</f>
        <v>169.03</v>
      </c>
    </row>
    <row r="41" spans="1:7" x14ac:dyDescent="0.2">
      <c r="A41" s="8" t="s">
        <v>2038</v>
      </c>
      <c r="B41" s="8">
        <v>11</v>
      </c>
      <c r="C41" s="8">
        <v>300</v>
      </c>
      <c r="D41" s="8">
        <v>3000</v>
      </c>
      <c r="E41" s="2" t="s">
        <v>2039</v>
      </c>
      <c r="F41" s="10">
        <v>189.71</v>
      </c>
      <c r="G41" s="11">
        <f>(CV)*189.71</f>
        <v>189.71</v>
      </c>
    </row>
    <row r="42" spans="1:7" x14ac:dyDescent="0.2">
      <c r="A42" s="8" t="s">
        <v>4150</v>
      </c>
      <c r="B42" s="8">
        <v>11</v>
      </c>
      <c r="C42" s="8">
        <v>300</v>
      </c>
      <c r="D42" s="8">
        <v>3000</v>
      </c>
      <c r="E42" s="2" t="s">
        <v>4151</v>
      </c>
      <c r="F42" s="10">
        <v>189.71</v>
      </c>
      <c r="G42" s="11">
        <f>(CV)*189.71</f>
        <v>189.71</v>
      </c>
    </row>
    <row r="43" spans="1:7" x14ac:dyDescent="0.2">
      <c r="A43" s="8" t="s">
        <v>2040</v>
      </c>
      <c r="B43" s="8">
        <v>11</v>
      </c>
      <c r="C43" s="8">
        <v>400</v>
      </c>
      <c r="D43" s="8">
        <v>400</v>
      </c>
      <c r="E43" s="2" t="s">
        <v>2041</v>
      </c>
      <c r="F43" s="10">
        <v>80.88</v>
      </c>
      <c r="G43" s="11">
        <f>(CV)*80.88</f>
        <v>80.88</v>
      </c>
    </row>
    <row r="44" spans="1:7" x14ac:dyDescent="0.2">
      <c r="A44" s="8" t="s">
        <v>4152</v>
      </c>
      <c r="B44" s="8">
        <v>11</v>
      </c>
      <c r="C44" s="8">
        <v>400</v>
      </c>
      <c r="D44" s="8">
        <v>400</v>
      </c>
      <c r="E44" s="2" t="s">
        <v>4153</v>
      </c>
      <c r="F44" s="10">
        <v>80.88</v>
      </c>
      <c r="G44" s="11">
        <f>(CV)*80.88</f>
        <v>80.88</v>
      </c>
    </row>
    <row r="45" spans="1:7" x14ac:dyDescent="0.2">
      <c r="A45" s="8" t="s">
        <v>2042</v>
      </c>
      <c r="B45" s="8">
        <v>11</v>
      </c>
      <c r="C45" s="8">
        <v>400</v>
      </c>
      <c r="D45" s="8">
        <v>500</v>
      </c>
      <c r="E45" s="2" t="s">
        <v>2043</v>
      </c>
      <c r="F45" s="10">
        <v>84</v>
      </c>
      <c r="G45" s="11">
        <f>(CV)*84</f>
        <v>84</v>
      </c>
    </row>
    <row r="46" spans="1:7" x14ac:dyDescent="0.2">
      <c r="A46" s="8" t="s">
        <v>4154</v>
      </c>
      <c r="B46" s="8">
        <v>11</v>
      </c>
      <c r="C46" s="8">
        <v>400</v>
      </c>
      <c r="D46" s="8">
        <v>500</v>
      </c>
      <c r="E46" s="2" t="s">
        <v>4155</v>
      </c>
      <c r="F46" s="10">
        <v>84</v>
      </c>
      <c r="G46" s="11">
        <f>(CV)*84</f>
        <v>84</v>
      </c>
    </row>
    <row r="47" spans="1:7" x14ac:dyDescent="0.2">
      <c r="A47" s="8" t="s">
        <v>2044</v>
      </c>
      <c r="B47" s="8">
        <v>11</v>
      </c>
      <c r="C47" s="8">
        <v>400</v>
      </c>
      <c r="D47" s="8">
        <v>600</v>
      </c>
      <c r="E47" s="2" t="s">
        <v>2045</v>
      </c>
      <c r="F47" s="10">
        <v>88.03</v>
      </c>
      <c r="G47" s="11">
        <f>(CV)*88.03</f>
        <v>88.03</v>
      </c>
    </row>
    <row r="48" spans="1:7" x14ac:dyDescent="0.2">
      <c r="A48" s="8" t="s">
        <v>4156</v>
      </c>
      <c r="B48" s="8">
        <v>11</v>
      </c>
      <c r="C48" s="8">
        <v>400</v>
      </c>
      <c r="D48" s="8">
        <v>600</v>
      </c>
      <c r="E48" s="2" t="s">
        <v>4157</v>
      </c>
      <c r="F48" s="10">
        <v>88.03</v>
      </c>
      <c r="G48" s="11">
        <f>(CV)*88.03</f>
        <v>88.03</v>
      </c>
    </row>
    <row r="49" spans="1:7" x14ac:dyDescent="0.2">
      <c r="A49" s="8" t="s">
        <v>2046</v>
      </c>
      <c r="B49" s="8">
        <v>11</v>
      </c>
      <c r="C49" s="8">
        <v>400</v>
      </c>
      <c r="D49" s="8">
        <v>700</v>
      </c>
      <c r="E49" s="2" t="s">
        <v>2047</v>
      </c>
      <c r="F49" s="10">
        <v>91.72</v>
      </c>
      <c r="G49" s="11">
        <f>(CV)*91.72</f>
        <v>91.72</v>
      </c>
    </row>
    <row r="50" spans="1:7" x14ac:dyDescent="0.2">
      <c r="A50" s="8" t="s">
        <v>4158</v>
      </c>
      <c r="B50" s="8">
        <v>11</v>
      </c>
      <c r="C50" s="8">
        <v>400</v>
      </c>
      <c r="D50" s="8">
        <v>700</v>
      </c>
      <c r="E50" s="2" t="s">
        <v>4159</v>
      </c>
      <c r="F50" s="10">
        <v>91.72</v>
      </c>
      <c r="G50" s="11">
        <f>(CV)*91.72</f>
        <v>91.72</v>
      </c>
    </row>
    <row r="51" spans="1:7" x14ac:dyDescent="0.2">
      <c r="A51" s="8" t="s">
        <v>2048</v>
      </c>
      <c r="B51" s="8">
        <v>11</v>
      </c>
      <c r="C51" s="8">
        <v>400</v>
      </c>
      <c r="D51" s="8">
        <v>800</v>
      </c>
      <c r="E51" s="2" t="s">
        <v>2049</v>
      </c>
      <c r="F51" s="10">
        <v>94.53</v>
      </c>
      <c r="G51" s="11">
        <f>(CV)*94.53</f>
        <v>94.53</v>
      </c>
    </row>
    <row r="52" spans="1:7" x14ac:dyDescent="0.2">
      <c r="A52" s="8" t="s">
        <v>4160</v>
      </c>
      <c r="B52" s="8">
        <v>11</v>
      </c>
      <c r="C52" s="8">
        <v>400</v>
      </c>
      <c r="D52" s="8">
        <v>800</v>
      </c>
      <c r="E52" s="2" t="s">
        <v>4161</v>
      </c>
      <c r="F52" s="10">
        <v>94.53</v>
      </c>
      <c r="G52" s="11">
        <f>(CV)*94.53</f>
        <v>94.53</v>
      </c>
    </row>
    <row r="53" spans="1:7" x14ac:dyDescent="0.2">
      <c r="A53" s="8" t="s">
        <v>2050</v>
      </c>
      <c r="B53" s="8">
        <v>11</v>
      </c>
      <c r="C53" s="8">
        <v>400</v>
      </c>
      <c r="D53" s="8">
        <v>900</v>
      </c>
      <c r="E53" s="2" t="s">
        <v>2051</v>
      </c>
      <c r="F53" s="10">
        <v>99.24</v>
      </c>
      <c r="G53" s="11">
        <f>(CV)*99.24</f>
        <v>99.24</v>
      </c>
    </row>
    <row r="54" spans="1:7" x14ac:dyDescent="0.2">
      <c r="A54" s="8" t="s">
        <v>4162</v>
      </c>
      <c r="B54" s="8">
        <v>11</v>
      </c>
      <c r="C54" s="8">
        <v>400</v>
      </c>
      <c r="D54" s="8">
        <v>900</v>
      </c>
      <c r="E54" s="2" t="s">
        <v>4163</v>
      </c>
      <c r="F54" s="10">
        <v>99.24</v>
      </c>
      <c r="G54" s="11">
        <f>(CV)*99.24</f>
        <v>99.24</v>
      </c>
    </row>
    <row r="55" spans="1:7" x14ac:dyDescent="0.2">
      <c r="A55" s="8" t="s">
        <v>2052</v>
      </c>
      <c r="B55" s="8">
        <v>11</v>
      </c>
      <c r="C55" s="8">
        <v>400</v>
      </c>
      <c r="D55" s="8">
        <v>1000</v>
      </c>
      <c r="E55" s="2" t="s">
        <v>2053</v>
      </c>
      <c r="F55" s="10">
        <v>102.61</v>
      </c>
      <c r="G55" s="11">
        <f>(CV)*102.61</f>
        <v>102.61</v>
      </c>
    </row>
    <row r="56" spans="1:7" x14ac:dyDescent="0.2">
      <c r="A56" s="8" t="s">
        <v>4164</v>
      </c>
      <c r="B56" s="8">
        <v>11</v>
      </c>
      <c r="C56" s="8">
        <v>400</v>
      </c>
      <c r="D56" s="8">
        <v>1000</v>
      </c>
      <c r="E56" s="2" t="s">
        <v>4165</v>
      </c>
      <c r="F56" s="10">
        <v>102.61</v>
      </c>
      <c r="G56" s="11">
        <f>(CV)*102.61</f>
        <v>102.61</v>
      </c>
    </row>
    <row r="57" spans="1:7" x14ac:dyDescent="0.2">
      <c r="A57" s="8" t="s">
        <v>2054</v>
      </c>
      <c r="B57" s="8">
        <v>11</v>
      </c>
      <c r="C57" s="8">
        <v>400</v>
      </c>
      <c r="D57" s="8">
        <v>1100</v>
      </c>
      <c r="E57" s="2" t="s">
        <v>2055</v>
      </c>
      <c r="F57" s="10">
        <v>108.73</v>
      </c>
      <c r="G57" s="11">
        <f>(CV)*108.73</f>
        <v>108.73</v>
      </c>
    </row>
    <row r="58" spans="1:7" x14ac:dyDescent="0.2">
      <c r="A58" s="8" t="s">
        <v>4166</v>
      </c>
      <c r="B58" s="8">
        <v>11</v>
      </c>
      <c r="C58" s="8">
        <v>400</v>
      </c>
      <c r="D58" s="8">
        <v>1100</v>
      </c>
      <c r="E58" s="2" t="s">
        <v>4167</v>
      </c>
      <c r="F58" s="10">
        <v>108.73</v>
      </c>
      <c r="G58" s="11">
        <f>(CV)*108.73</f>
        <v>108.73</v>
      </c>
    </row>
    <row r="59" spans="1:7" x14ac:dyDescent="0.2">
      <c r="A59" s="8" t="s">
        <v>2056</v>
      </c>
      <c r="B59" s="8">
        <v>11</v>
      </c>
      <c r="C59" s="8">
        <v>400</v>
      </c>
      <c r="D59" s="8">
        <v>1200</v>
      </c>
      <c r="E59" s="2" t="s">
        <v>2057</v>
      </c>
      <c r="F59" s="10">
        <v>113.34</v>
      </c>
      <c r="G59" s="11">
        <f>(CV)*113.34</f>
        <v>113.34</v>
      </c>
    </row>
    <row r="60" spans="1:7" x14ac:dyDescent="0.2">
      <c r="A60" s="8" t="s">
        <v>4168</v>
      </c>
      <c r="B60" s="8">
        <v>11</v>
      </c>
      <c r="C60" s="8">
        <v>400</v>
      </c>
      <c r="D60" s="8">
        <v>1200</v>
      </c>
      <c r="E60" s="2" t="s">
        <v>4169</v>
      </c>
      <c r="F60" s="10">
        <v>113.34</v>
      </c>
      <c r="G60" s="11">
        <f>(CV)*113.34</f>
        <v>113.34</v>
      </c>
    </row>
    <row r="61" spans="1:7" x14ac:dyDescent="0.2">
      <c r="A61" s="8" t="s">
        <v>2058</v>
      </c>
      <c r="B61" s="8">
        <v>11</v>
      </c>
      <c r="C61" s="8">
        <v>400</v>
      </c>
      <c r="D61" s="8">
        <v>1400</v>
      </c>
      <c r="E61" s="2" t="s">
        <v>2059</v>
      </c>
      <c r="F61" s="10">
        <v>129.81</v>
      </c>
      <c r="G61" s="11">
        <f>(CV)*129.81</f>
        <v>129.81</v>
      </c>
    </row>
    <row r="62" spans="1:7" x14ac:dyDescent="0.2">
      <c r="A62" s="8" t="s">
        <v>4170</v>
      </c>
      <c r="B62" s="8">
        <v>11</v>
      </c>
      <c r="C62" s="8">
        <v>400</v>
      </c>
      <c r="D62" s="8">
        <v>1400</v>
      </c>
      <c r="E62" s="2" t="s">
        <v>4171</v>
      </c>
      <c r="F62" s="10">
        <v>129.81</v>
      </c>
      <c r="G62" s="11">
        <f>(CV)*129.81</f>
        <v>129.81</v>
      </c>
    </row>
    <row r="63" spans="1:7" x14ac:dyDescent="0.2">
      <c r="A63" s="8" t="s">
        <v>2060</v>
      </c>
      <c r="B63" s="8">
        <v>11</v>
      </c>
      <c r="C63" s="8">
        <v>400</v>
      </c>
      <c r="D63" s="8">
        <v>1600</v>
      </c>
      <c r="E63" s="2" t="s">
        <v>2061</v>
      </c>
      <c r="F63" s="10">
        <v>138.55000000000001</v>
      </c>
      <c r="G63" s="11">
        <f>(CV)*138.55</f>
        <v>138.55000000000001</v>
      </c>
    </row>
    <row r="64" spans="1:7" x14ac:dyDescent="0.2">
      <c r="A64" s="8" t="s">
        <v>4172</v>
      </c>
      <c r="B64" s="8">
        <v>11</v>
      </c>
      <c r="C64" s="8">
        <v>400</v>
      </c>
      <c r="D64" s="8">
        <v>1600</v>
      </c>
      <c r="E64" s="2" t="s">
        <v>4173</v>
      </c>
      <c r="F64" s="10">
        <v>138.55000000000001</v>
      </c>
      <c r="G64" s="11">
        <f>(CV)*138.55</f>
        <v>138.55000000000001</v>
      </c>
    </row>
    <row r="65" spans="1:7" x14ac:dyDescent="0.2">
      <c r="A65" s="8" t="s">
        <v>2062</v>
      </c>
      <c r="B65" s="8">
        <v>11</v>
      </c>
      <c r="C65" s="8">
        <v>400</v>
      </c>
      <c r="D65" s="8">
        <v>1800</v>
      </c>
      <c r="E65" s="2" t="s">
        <v>2063</v>
      </c>
      <c r="F65" s="10">
        <v>151.44</v>
      </c>
      <c r="G65" s="11">
        <f>(CV)*151.44</f>
        <v>151.44</v>
      </c>
    </row>
    <row r="66" spans="1:7" x14ac:dyDescent="0.2">
      <c r="A66" s="8" t="s">
        <v>4174</v>
      </c>
      <c r="B66" s="8">
        <v>11</v>
      </c>
      <c r="C66" s="8">
        <v>400</v>
      </c>
      <c r="D66" s="8">
        <v>1800</v>
      </c>
      <c r="E66" s="2" t="s">
        <v>4175</v>
      </c>
      <c r="F66" s="10">
        <v>151.44</v>
      </c>
      <c r="G66" s="11">
        <f>(CV)*151.44</f>
        <v>151.44</v>
      </c>
    </row>
    <row r="67" spans="1:7" x14ac:dyDescent="0.2">
      <c r="A67" s="8" t="s">
        <v>2064</v>
      </c>
      <c r="B67" s="8">
        <v>11</v>
      </c>
      <c r="C67" s="8">
        <v>400</v>
      </c>
      <c r="D67" s="8">
        <v>2000</v>
      </c>
      <c r="E67" s="2" t="s">
        <v>2065</v>
      </c>
      <c r="F67" s="10">
        <v>159.88999999999999</v>
      </c>
      <c r="G67" s="11">
        <f>(CV)*159.89</f>
        <v>159.88999999999999</v>
      </c>
    </row>
    <row r="68" spans="1:7" x14ac:dyDescent="0.2">
      <c r="A68" s="8" t="s">
        <v>4176</v>
      </c>
      <c r="B68" s="8">
        <v>11</v>
      </c>
      <c r="C68" s="8">
        <v>400</v>
      </c>
      <c r="D68" s="8">
        <v>2000</v>
      </c>
      <c r="E68" s="2" t="s">
        <v>4177</v>
      </c>
      <c r="F68" s="10">
        <v>159.88999999999999</v>
      </c>
      <c r="G68" s="11">
        <f>(CV)*159.89</f>
        <v>159.88999999999999</v>
      </c>
    </row>
    <row r="69" spans="1:7" x14ac:dyDescent="0.2">
      <c r="A69" s="8" t="s">
        <v>2066</v>
      </c>
      <c r="B69" s="8">
        <v>11</v>
      </c>
      <c r="C69" s="8">
        <v>400</v>
      </c>
      <c r="D69" s="8">
        <v>2300</v>
      </c>
      <c r="E69" s="2" t="s">
        <v>2067</v>
      </c>
      <c r="F69" s="10">
        <v>175.41</v>
      </c>
      <c r="G69" s="11">
        <f>(CV)*175.41</f>
        <v>175.41</v>
      </c>
    </row>
    <row r="70" spans="1:7" x14ac:dyDescent="0.2">
      <c r="A70" s="8" t="s">
        <v>4178</v>
      </c>
      <c r="B70" s="8">
        <v>11</v>
      </c>
      <c r="C70" s="8">
        <v>400</v>
      </c>
      <c r="D70" s="8">
        <v>2300</v>
      </c>
      <c r="E70" s="2" t="s">
        <v>4179</v>
      </c>
      <c r="F70" s="10">
        <v>175.41</v>
      </c>
      <c r="G70" s="11">
        <f>(CV)*175.41</f>
        <v>175.41</v>
      </c>
    </row>
    <row r="71" spans="1:7" x14ac:dyDescent="0.2">
      <c r="A71" s="8" t="s">
        <v>2068</v>
      </c>
      <c r="B71" s="8">
        <v>11</v>
      </c>
      <c r="C71" s="8">
        <v>400</v>
      </c>
      <c r="D71" s="8">
        <v>2600</v>
      </c>
      <c r="E71" s="2" t="s">
        <v>2069</v>
      </c>
      <c r="F71" s="10">
        <v>191.03</v>
      </c>
      <c r="G71" s="11">
        <f>(CV)*191.03</f>
        <v>191.03</v>
      </c>
    </row>
    <row r="72" spans="1:7" x14ac:dyDescent="0.2">
      <c r="A72" s="8" t="s">
        <v>4180</v>
      </c>
      <c r="B72" s="8">
        <v>11</v>
      </c>
      <c r="C72" s="8">
        <v>400</v>
      </c>
      <c r="D72" s="8">
        <v>2600</v>
      </c>
      <c r="E72" s="2" t="s">
        <v>4181</v>
      </c>
      <c r="F72" s="10">
        <v>191.03</v>
      </c>
      <c r="G72" s="11">
        <f>(CV)*191.03</f>
        <v>191.03</v>
      </c>
    </row>
    <row r="73" spans="1:7" x14ac:dyDescent="0.2">
      <c r="A73" s="8" t="s">
        <v>2070</v>
      </c>
      <c r="B73" s="8">
        <v>11</v>
      </c>
      <c r="C73" s="8">
        <v>400</v>
      </c>
      <c r="D73" s="8">
        <v>3000</v>
      </c>
      <c r="E73" s="2" t="s">
        <v>2071</v>
      </c>
      <c r="F73" s="10">
        <v>212.56</v>
      </c>
      <c r="G73" s="11">
        <f>(CV)*212.56</f>
        <v>212.56</v>
      </c>
    </row>
    <row r="74" spans="1:7" x14ac:dyDescent="0.2">
      <c r="A74" s="8" t="s">
        <v>4182</v>
      </c>
      <c r="B74" s="8">
        <v>11</v>
      </c>
      <c r="C74" s="8">
        <v>400</v>
      </c>
      <c r="D74" s="8">
        <v>3000</v>
      </c>
      <c r="E74" s="2" t="s">
        <v>4183</v>
      </c>
      <c r="F74" s="10">
        <v>212.56</v>
      </c>
      <c r="G74" s="11">
        <f>(CV)*212.56</f>
        <v>212.56</v>
      </c>
    </row>
    <row r="75" spans="1:7" x14ac:dyDescent="0.2">
      <c r="A75" s="8" t="s">
        <v>2072</v>
      </c>
      <c r="B75" s="8">
        <v>11</v>
      </c>
      <c r="C75" s="8">
        <v>450</v>
      </c>
      <c r="D75" s="8">
        <v>400</v>
      </c>
      <c r="E75" s="2" t="s">
        <v>2073</v>
      </c>
      <c r="F75" s="10">
        <v>81.42</v>
      </c>
      <c r="G75" s="11">
        <f>(CV)*81.42</f>
        <v>81.42</v>
      </c>
    </row>
    <row r="76" spans="1:7" x14ac:dyDescent="0.2">
      <c r="A76" s="8" t="s">
        <v>4184</v>
      </c>
      <c r="B76" s="8">
        <v>11</v>
      </c>
      <c r="C76" s="8">
        <v>450</v>
      </c>
      <c r="D76" s="8">
        <v>400</v>
      </c>
      <c r="E76" s="2" t="s">
        <v>4185</v>
      </c>
      <c r="F76" s="10">
        <v>81.42</v>
      </c>
      <c r="G76" s="11">
        <f>(CV)*81.42</f>
        <v>81.42</v>
      </c>
    </row>
    <row r="77" spans="1:7" x14ac:dyDescent="0.2">
      <c r="A77" s="8" t="s">
        <v>2074</v>
      </c>
      <c r="B77" s="8">
        <v>11</v>
      </c>
      <c r="C77" s="8">
        <v>450</v>
      </c>
      <c r="D77" s="8">
        <v>500</v>
      </c>
      <c r="E77" s="2" t="s">
        <v>2075</v>
      </c>
      <c r="F77" s="10">
        <v>84.44</v>
      </c>
      <c r="G77" s="11">
        <f>(CV)*84.44</f>
        <v>84.44</v>
      </c>
    </row>
    <row r="78" spans="1:7" x14ac:dyDescent="0.2">
      <c r="A78" s="8" t="s">
        <v>4186</v>
      </c>
      <c r="B78" s="8">
        <v>11</v>
      </c>
      <c r="C78" s="8">
        <v>450</v>
      </c>
      <c r="D78" s="8">
        <v>500</v>
      </c>
      <c r="E78" s="2" t="s">
        <v>4187</v>
      </c>
      <c r="F78" s="10">
        <v>84.44</v>
      </c>
      <c r="G78" s="11">
        <f>(CV)*84.44</f>
        <v>84.44</v>
      </c>
    </row>
    <row r="79" spans="1:7" x14ac:dyDescent="0.2">
      <c r="A79" s="8" t="s">
        <v>2076</v>
      </c>
      <c r="B79" s="8">
        <v>11</v>
      </c>
      <c r="C79" s="8">
        <v>450</v>
      </c>
      <c r="D79" s="8">
        <v>600</v>
      </c>
      <c r="E79" s="2" t="s">
        <v>2077</v>
      </c>
      <c r="F79" s="10">
        <v>88.74</v>
      </c>
      <c r="G79" s="11">
        <f>(CV)*88.74</f>
        <v>88.74</v>
      </c>
    </row>
    <row r="80" spans="1:7" x14ac:dyDescent="0.2">
      <c r="A80" s="8" t="s">
        <v>4188</v>
      </c>
      <c r="B80" s="8">
        <v>11</v>
      </c>
      <c r="C80" s="8">
        <v>450</v>
      </c>
      <c r="D80" s="8">
        <v>600</v>
      </c>
      <c r="E80" s="2" t="s">
        <v>4189</v>
      </c>
      <c r="F80" s="10">
        <v>88.74</v>
      </c>
      <c r="G80" s="11">
        <f>(CV)*88.74</f>
        <v>88.74</v>
      </c>
    </row>
    <row r="81" spans="1:7" x14ac:dyDescent="0.2">
      <c r="A81" s="8" t="s">
        <v>2078</v>
      </c>
      <c r="B81" s="8">
        <v>11</v>
      </c>
      <c r="C81" s="8">
        <v>450</v>
      </c>
      <c r="D81" s="8">
        <v>700</v>
      </c>
      <c r="E81" s="2" t="s">
        <v>2079</v>
      </c>
      <c r="F81" s="10">
        <v>93.17</v>
      </c>
      <c r="G81" s="11">
        <f>(CV)*93.17</f>
        <v>93.17</v>
      </c>
    </row>
    <row r="82" spans="1:7" x14ac:dyDescent="0.2">
      <c r="A82" s="8" t="s">
        <v>4190</v>
      </c>
      <c r="B82" s="8">
        <v>11</v>
      </c>
      <c r="C82" s="8">
        <v>450</v>
      </c>
      <c r="D82" s="8">
        <v>700</v>
      </c>
      <c r="E82" s="2" t="s">
        <v>4191</v>
      </c>
      <c r="F82" s="10">
        <v>93.17</v>
      </c>
      <c r="G82" s="11">
        <f>(CV)*93.17</f>
        <v>93.17</v>
      </c>
    </row>
    <row r="83" spans="1:7" x14ac:dyDescent="0.2">
      <c r="A83" s="8" t="s">
        <v>2080</v>
      </c>
      <c r="B83" s="8">
        <v>11</v>
      </c>
      <c r="C83" s="8">
        <v>450</v>
      </c>
      <c r="D83" s="8">
        <v>800</v>
      </c>
      <c r="E83" s="2" t="s">
        <v>2081</v>
      </c>
      <c r="F83" s="10">
        <v>96.62</v>
      </c>
      <c r="G83" s="11">
        <f>(CV)*96.62</f>
        <v>96.62</v>
      </c>
    </row>
    <row r="84" spans="1:7" x14ac:dyDescent="0.2">
      <c r="A84" s="8" t="s">
        <v>4192</v>
      </c>
      <c r="B84" s="8">
        <v>11</v>
      </c>
      <c r="C84" s="8">
        <v>450</v>
      </c>
      <c r="D84" s="8">
        <v>800</v>
      </c>
      <c r="E84" s="2" t="s">
        <v>4193</v>
      </c>
      <c r="F84" s="10">
        <v>96.62</v>
      </c>
      <c r="G84" s="11">
        <f>(CV)*96.62</f>
        <v>96.62</v>
      </c>
    </row>
    <row r="85" spans="1:7" x14ac:dyDescent="0.2">
      <c r="A85" s="8" t="s">
        <v>2082</v>
      </c>
      <c r="B85" s="8">
        <v>11</v>
      </c>
      <c r="C85" s="8">
        <v>450</v>
      </c>
      <c r="D85" s="8">
        <v>900</v>
      </c>
      <c r="E85" s="2" t="s">
        <v>2083</v>
      </c>
      <c r="F85" s="10">
        <v>101.47</v>
      </c>
      <c r="G85" s="11">
        <f>(CV)*101.47</f>
        <v>101.47</v>
      </c>
    </row>
    <row r="86" spans="1:7" x14ac:dyDescent="0.2">
      <c r="A86" s="8" t="s">
        <v>4194</v>
      </c>
      <c r="B86" s="8">
        <v>11</v>
      </c>
      <c r="C86" s="8">
        <v>450</v>
      </c>
      <c r="D86" s="8">
        <v>900</v>
      </c>
      <c r="E86" s="2" t="s">
        <v>4195</v>
      </c>
      <c r="F86" s="10">
        <v>101.47</v>
      </c>
      <c r="G86" s="11">
        <f>(CV)*101.47</f>
        <v>101.47</v>
      </c>
    </row>
    <row r="87" spans="1:7" x14ac:dyDescent="0.2">
      <c r="A87" s="8" t="s">
        <v>2084</v>
      </c>
      <c r="B87" s="8">
        <v>11</v>
      </c>
      <c r="C87" s="8">
        <v>450</v>
      </c>
      <c r="D87" s="8">
        <v>1000</v>
      </c>
      <c r="E87" s="2" t="s">
        <v>2085</v>
      </c>
      <c r="F87" s="10">
        <v>106.18</v>
      </c>
      <c r="G87" s="11">
        <f>(CV)*106.18</f>
        <v>106.18</v>
      </c>
    </row>
    <row r="88" spans="1:7" x14ac:dyDescent="0.2">
      <c r="A88" s="8" t="s">
        <v>4196</v>
      </c>
      <c r="B88" s="8">
        <v>11</v>
      </c>
      <c r="C88" s="8">
        <v>450</v>
      </c>
      <c r="D88" s="8">
        <v>1000</v>
      </c>
      <c r="E88" s="2" t="s">
        <v>4197</v>
      </c>
      <c r="F88" s="10">
        <v>106.18</v>
      </c>
      <c r="G88" s="11">
        <f>(CV)*106.18</f>
        <v>106.18</v>
      </c>
    </row>
    <row r="89" spans="1:7" x14ac:dyDescent="0.2">
      <c r="A89" s="8" t="s">
        <v>2086</v>
      </c>
      <c r="B89" s="8">
        <v>11</v>
      </c>
      <c r="C89" s="8">
        <v>450</v>
      </c>
      <c r="D89" s="8">
        <v>1100</v>
      </c>
      <c r="E89" s="2" t="s">
        <v>2087</v>
      </c>
      <c r="F89" s="10">
        <v>111.95</v>
      </c>
      <c r="G89" s="11">
        <f>(CV)*111.95</f>
        <v>111.95</v>
      </c>
    </row>
    <row r="90" spans="1:7" x14ac:dyDescent="0.2">
      <c r="A90" s="8" t="s">
        <v>4198</v>
      </c>
      <c r="B90" s="8">
        <v>11</v>
      </c>
      <c r="C90" s="8">
        <v>450</v>
      </c>
      <c r="D90" s="8">
        <v>1100</v>
      </c>
      <c r="E90" s="2" t="s">
        <v>4199</v>
      </c>
      <c r="F90" s="10">
        <v>111.95</v>
      </c>
      <c r="G90" s="11">
        <f>(CV)*111.95</f>
        <v>111.95</v>
      </c>
    </row>
    <row r="91" spans="1:7" x14ac:dyDescent="0.2">
      <c r="A91" s="8" t="s">
        <v>2088</v>
      </c>
      <c r="B91" s="8">
        <v>11</v>
      </c>
      <c r="C91" s="8">
        <v>450</v>
      </c>
      <c r="D91" s="8">
        <v>1200</v>
      </c>
      <c r="E91" s="2" t="s">
        <v>2089</v>
      </c>
      <c r="F91" s="10">
        <v>116.82</v>
      </c>
      <c r="G91" s="11">
        <f>(CV)*116.82</f>
        <v>116.82</v>
      </c>
    </row>
    <row r="92" spans="1:7" x14ac:dyDescent="0.2">
      <c r="A92" s="8" t="s">
        <v>4200</v>
      </c>
      <c r="B92" s="8">
        <v>11</v>
      </c>
      <c r="C92" s="8">
        <v>450</v>
      </c>
      <c r="D92" s="8">
        <v>1200</v>
      </c>
      <c r="E92" s="2" t="s">
        <v>4201</v>
      </c>
      <c r="F92" s="10">
        <v>116.82</v>
      </c>
      <c r="G92" s="11">
        <f>(CV)*116.82</f>
        <v>116.82</v>
      </c>
    </row>
    <row r="93" spans="1:7" x14ac:dyDescent="0.2">
      <c r="A93" s="8" t="s">
        <v>2090</v>
      </c>
      <c r="B93" s="8">
        <v>11</v>
      </c>
      <c r="C93" s="8">
        <v>450</v>
      </c>
      <c r="D93" s="8">
        <v>1400</v>
      </c>
      <c r="E93" s="2" t="s">
        <v>2091</v>
      </c>
      <c r="F93" s="10">
        <v>130.69999999999999</v>
      </c>
      <c r="G93" s="11">
        <f>(CV)*130.7</f>
        <v>130.69999999999999</v>
      </c>
    </row>
    <row r="94" spans="1:7" x14ac:dyDescent="0.2">
      <c r="A94" s="8" t="s">
        <v>4202</v>
      </c>
      <c r="B94" s="8">
        <v>11</v>
      </c>
      <c r="C94" s="8">
        <v>450</v>
      </c>
      <c r="D94" s="8">
        <v>1400</v>
      </c>
      <c r="E94" s="2" t="s">
        <v>4203</v>
      </c>
      <c r="F94" s="10">
        <v>130.69999999999999</v>
      </c>
      <c r="G94" s="11">
        <f>(CV)*130.7</f>
        <v>130.69999999999999</v>
      </c>
    </row>
    <row r="95" spans="1:7" x14ac:dyDescent="0.2">
      <c r="A95" s="8" t="s">
        <v>2092</v>
      </c>
      <c r="B95" s="8">
        <v>11</v>
      </c>
      <c r="C95" s="8">
        <v>450</v>
      </c>
      <c r="D95" s="8">
        <v>1600</v>
      </c>
      <c r="E95" s="2" t="s">
        <v>2093</v>
      </c>
      <c r="F95" s="10">
        <v>140.79</v>
      </c>
      <c r="G95" s="11">
        <f>(CV)*140.79</f>
        <v>140.79</v>
      </c>
    </row>
    <row r="96" spans="1:7" x14ac:dyDescent="0.2">
      <c r="A96" s="8" t="s">
        <v>4204</v>
      </c>
      <c r="B96" s="8">
        <v>11</v>
      </c>
      <c r="C96" s="8">
        <v>450</v>
      </c>
      <c r="D96" s="8">
        <v>1600</v>
      </c>
      <c r="E96" s="2" t="s">
        <v>4205</v>
      </c>
      <c r="F96" s="10">
        <v>140.79</v>
      </c>
      <c r="G96" s="11">
        <f>(CV)*140.79</f>
        <v>140.79</v>
      </c>
    </row>
    <row r="97" spans="1:7" x14ac:dyDescent="0.2">
      <c r="A97" s="8" t="s">
        <v>2094</v>
      </c>
      <c r="B97" s="8">
        <v>11</v>
      </c>
      <c r="C97" s="8">
        <v>450</v>
      </c>
      <c r="D97" s="8">
        <v>1800</v>
      </c>
      <c r="E97" s="2" t="s">
        <v>2095</v>
      </c>
      <c r="F97" s="10">
        <v>153.07</v>
      </c>
      <c r="G97" s="11">
        <f>(CV)*153.07</f>
        <v>153.07</v>
      </c>
    </row>
    <row r="98" spans="1:7" x14ac:dyDescent="0.2">
      <c r="A98" s="8" t="s">
        <v>4206</v>
      </c>
      <c r="B98" s="8">
        <v>11</v>
      </c>
      <c r="C98" s="8">
        <v>450</v>
      </c>
      <c r="D98" s="8">
        <v>1800</v>
      </c>
      <c r="E98" s="2" t="s">
        <v>4207</v>
      </c>
      <c r="F98" s="10">
        <v>153.07</v>
      </c>
      <c r="G98" s="11">
        <f>(CV)*153.07</f>
        <v>153.07</v>
      </c>
    </row>
    <row r="99" spans="1:7" x14ac:dyDescent="0.2">
      <c r="A99" s="8" t="s">
        <v>2096</v>
      </c>
      <c r="B99" s="8">
        <v>11</v>
      </c>
      <c r="C99" s="8">
        <v>450</v>
      </c>
      <c r="D99" s="8">
        <v>2000</v>
      </c>
      <c r="E99" s="2" t="s">
        <v>2097</v>
      </c>
      <c r="F99" s="10">
        <v>163.31</v>
      </c>
      <c r="G99" s="11">
        <f>(CV)*163.31</f>
        <v>163.31</v>
      </c>
    </row>
    <row r="100" spans="1:7" x14ac:dyDescent="0.2">
      <c r="A100" s="8" t="s">
        <v>4208</v>
      </c>
      <c r="B100" s="8">
        <v>11</v>
      </c>
      <c r="C100" s="8">
        <v>450</v>
      </c>
      <c r="D100" s="8">
        <v>2000</v>
      </c>
      <c r="E100" s="2" t="s">
        <v>4209</v>
      </c>
      <c r="F100" s="10">
        <v>163.31</v>
      </c>
      <c r="G100" s="11">
        <f>(CV)*163.31</f>
        <v>163.31</v>
      </c>
    </row>
    <row r="101" spans="1:7" x14ac:dyDescent="0.2">
      <c r="A101" s="8" t="s">
        <v>2098</v>
      </c>
      <c r="B101" s="8">
        <v>11</v>
      </c>
      <c r="C101" s="8">
        <v>450</v>
      </c>
      <c r="D101" s="8">
        <v>2300</v>
      </c>
      <c r="E101" s="2" t="s">
        <v>2099</v>
      </c>
      <c r="F101" s="10">
        <v>179.47</v>
      </c>
      <c r="G101" s="11">
        <f>(CV)*179.47</f>
        <v>179.47</v>
      </c>
    </row>
    <row r="102" spans="1:7" x14ac:dyDescent="0.2">
      <c r="A102" s="8" t="s">
        <v>4210</v>
      </c>
      <c r="B102" s="8">
        <v>11</v>
      </c>
      <c r="C102" s="8">
        <v>450</v>
      </c>
      <c r="D102" s="8">
        <v>2300</v>
      </c>
      <c r="E102" s="2" t="s">
        <v>4211</v>
      </c>
      <c r="F102" s="10">
        <v>179.47</v>
      </c>
      <c r="G102" s="11">
        <f>(CV)*179.47</f>
        <v>179.47</v>
      </c>
    </row>
    <row r="103" spans="1:7" x14ac:dyDescent="0.2">
      <c r="A103" s="8" t="s">
        <v>2100</v>
      </c>
      <c r="B103" s="8">
        <v>11</v>
      </c>
      <c r="C103" s="8">
        <v>450</v>
      </c>
      <c r="D103" s="8">
        <v>2600</v>
      </c>
      <c r="E103" s="2" t="s">
        <v>2101</v>
      </c>
      <c r="F103" s="10">
        <v>195.99</v>
      </c>
      <c r="G103" s="11">
        <f>(CV)*195.99</f>
        <v>195.99</v>
      </c>
    </row>
    <row r="104" spans="1:7" x14ac:dyDescent="0.2">
      <c r="A104" s="8" t="s">
        <v>4212</v>
      </c>
      <c r="B104" s="8">
        <v>11</v>
      </c>
      <c r="C104" s="8">
        <v>450</v>
      </c>
      <c r="D104" s="8">
        <v>2600</v>
      </c>
      <c r="E104" s="2" t="s">
        <v>4213</v>
      </c>
      <c r="F104" s="10">
        <v>195.99</v>
      </c>
      <c r="G104" s="11">
        <f>(CV)*195.99</f>
        <v>195.99</v>
      </c>
    </row>
    <row r="105" spans="1:7" x14ac:dyDescent="0.2">
      <c r="A105" s="8" t="s">
        <v>2102</v>
      </c>
      <c r="B105" s="8">
        <v>11</v>
      </c>
      <c r="C105" s="8">
        <v>450</v>
      </c>
      <c r="D105" s="8">
        <v>3000</v>
      </c>
      <c r="E105" s="2" t="s">
        <v>2103</v>
      </c>
      <c r="F105" s="10">
        <v>218.3</v>
      </c>
      <c r="G105" s="11">
        <f>(CV)*218.3</f>
        <v>218.3</v>
      </c>
    </row>
    <row r="106" spans="1:7" x14ac:dyDescent="0.2">
      <c r="A106" s="8" t="s">
        <v>4214</v>
      </c>
      <c r="B106" s="8">
        <v>11</v>
      </c>
      <c r="C106" s="8">
        <v>450</v>
      </c>
      <c r="D106" s="8">
        <v>3000</v>
      </c>
      <c r="E106" s="2" t="s">
        <v>4215</v>
      </c>
      <c r="F106" s="10">
        <v>218.3</v>
      </c>
      <c r="G106" s="11">
        <f>(CV)*218.3</f>
        <v>218.3</v>
      </c>
    </row>
    <row r="107" spans="1:7" x14ac:dyDescent="0.2">
      <c r="A107" s="8" t="s">
        <v>2104</v>
      </c>
      <c r="B107" s="8">
        <v>11</v>
      </c>
      <c r="C107" s="8">
        <v>500</v>
      </c>
      <c r="D107" s="8">
        <v>400</v>
      </c>
      <c r="E107" s="2" t="s">
        <v>2105</v>
      </c>
      <c r="F107" s="10">
        <v>81.84</v>
      </c>
      <c r="G107" s="11">
        <f>(CV)*81.84</f>
        <v>81.84</v>
      </c>
    </row>
    <row r="108" spans="1:7" x14ac:dyDescent="0.2">
      <c r="A108" s="8" t="s">
        <v>4216</v>
      </c>
      <c r="B108" s="8">
        <v>11</v>
      </c>
      <c r="C108" s="8">
        <v>500</v>
      </c>
      <c r="D108" s="8">
        <v>400</v>
      </c>
      <c r="E108" s="2" t="s">
        <v>4217</v>
      </c>
      <c r="F108" s="10">
        <v>81.84</v>
      </c>
      <c r="G108" s="11">
        <f>(CV)*81.84</f>
        <v>81.84</v>
      </c>
    </row>
    <row r="109" spans="1:7" x14ac:dyDescent="0.2">
      <c r="A109" s="8" t="s">
        <v>2106</v>
      </c>
      <c r="B109" s="8">
        <v>11</v>
      </c>
      <c r="C109" s="8">
        <v>500</v>
      </c>
      <c r="D109" s="8">
        <v>500</v>
      </c>
      <c r="E109" s="2" t="s">
        <v>2107</v>
      </c>
      <c r="F109" s="10">
        <v>86.35</v>
      </c>
      <c r="G109" s="11">
        <f>(CV)*86.35</f>
        <v>86.35</v>
      </c>
    </row>
    <row r="110" spans="1:7" x14ac:dyDescent="0.2">
      <c r="A110" s="8" t="s">
        <v>4218</v>
      </c>
      <c r="B110" s="8">
        <v>11</v>
      </c>
      <c r="C110" s="8">
        <v>500</v>
      </c>
      <c r="D110" s="8">
        <v>500</v>
      </c>
      <c r="E110" s="2" t="s">
        <v>4219</v>
      </c>
      <c r="F110" s="10">
        <v>86.35</v>
      </c>
      <c r="G110" s="11">
        <f>(CV)*86.35</f>
        <v>86.35</v>
      </c>
    </row>
    <row r="111" spans="1:7" x14ac:dyDescent="0.2">
      <c r="A111" s="8" t="s">
        <v>2108</v>
      </c>
      <c r="B111" s="8">
        <v>11</v>
      </c>
      <c r="C111" s="8">
        <v>500</v>
      </c>
      <c r="D111" s="8">
        <v>600</v>
      </c>
      <c r="E111" s="2" t="s">
        <v>2109</v>
      </c>
      <c r="F111" s="10">
        <v>91.14</v>
      </c>
      <c r="G111" s="11">
        <f>(CV)*91.14</f>
        <v>91.14</v>
      </c>
    </row>
    <row r="112" spans="1:7" x14ac:dyDescent="0.2">
      <c r="A112" s="8" t="s">
        <v>4220</v>
      </c>
      <c r="B112" s="8">
        <v>11</v>
      </c>
      <c r="C112" s="8">
        <v>500</v>
      </c>
      <c r="D112" s="8">
        <v>600</v>
      </c>
      <c r="E112" s="2" t="s">
        <v>4221</v>
      </c>
      <c r="F112" s="10">
        <v>91.14</v>
      </c>
      <c r="G112" s="11">
        <f>(CV)*91.14</f>
        <v>91.14</v>
      </c>
    </row>
    <row r="113" spans="1:7" x14ac:dyDescent="0.2">
      <c r="A113" s="8" t="s">
        <v>2110</v>
      </c>
      <c r="B113" s="8">
        <v>11</v>
      </c>
      <c r="C113" s="8">
        <v>500</v>
      </c>
      <c r="D113" s="8">
        <v>700</v>
      </c>
      <c r="E113" s="2" t="s">
        <v>2111</v>
      </c>
      <c r="F113" s="10">
        <v>96.8</v>
      </c>
      <c r="G113" s="11">
        <f>(CV)*96.8</f>
        <v>96.8</v>
      </c>
    </row>
    <row r="114" spans="1:7" x14ac:dyDescent="0.2">
      <c r="A114" s="8" t="s">
        <v>4222</v>
      </c>
      <c r="B114" s="8">
        <v>11</v>
      </c>
      <c r="C114" s="8">
        <v>500</v>
      </c>
      <c r="D114" s="8">
        <v>700</v>
      </c>
      <c r="E114" s="2" t="s">
        <v>4223</v>
      </c>
      <c r="F114" s="10">
        <v>96.8</v>
      </c>
      <c r="G114" s="11">
        <f>(CV)*96.8</f>
        <v>96.8</v>
      </c>
    </row>
    <row r="115" spans="1:7" x14ac:dyDescent="0.2">
      <c r="A115" s="8" t="s">
        <v>2112</v>
      </c>
      <c r="B115" s="8">
        <v>11</v>
      </c>
      <c r="C115" s="8">
        <v>500</v>
      </c>
      <c r="D115" s="8">
        <v>800</v>
      </c>
      <c r="E115" s="2" t="s">
        <v>2113</v>
      </c>
      <c r="F115" s="10">
        <v>100.64</v>
      </c>
      <c r="G115" s="11">
        <f>(CV)*100.64</f>
        <v>100.64</v>
      </c>
    </row>
    <row r="116" spans="1:7" x14ac:dyDescent="0.2">
      <c r="A116" s="8" t="s">
        <v>4224</v>
      </c>
      <c r="B116" s="8">
        <v>11</v>
      </c>
      <c r="C116" s="8">
        <v>500</v>
      </c>
      <c r="D116" s="8">
        <v>800</v>
      </c>
      <c r="E116" s="2" t="s">
        <v>4225</v>
      </c>
      <c r="F116" s="10">
        <v>100.64</v>
      </c>
      <c r="G116" s="11">
        <f>(CV)*100.64</f>
        <v>100.64</v>
      </c>
    </row>
    <row r="117" spans="1:7" x14ac:dyDescent="0.2">
      <c r="A117" s="8" t="s">
        <v>2114</v>
      </c>
      <c r="B117" s="8">
        <v>11</v>
      </c>
      <c r="C117" s="8">
        <v>500</v>
      </c>
      <c r="D117" s="8">
        <v>900</v>
      </c>
      <c r="E117" s="2" t="s">
        <v>2115</v>
      </c>
      <c r="F117" s="10">
        <v>105.91</v>
      </c>
      <c r="G117" s="11">
        <f>(CV)*105.91</f>
        <v>105.91</v>
      </c>
    </row>
    <row r="118" spans="1:7" x14ac:dyDescent="0.2">
      <c r="A118" s="8" t="s">
        <v>4226</v>
      </c>
      <c r="B118" s="8">
        <v>11</v>
      </c>
      <c r="C118" s="8">
        <v>500</v>
      </c>
      <c r="D118" s="8">
        <v>900</v>
      </c>
      <c r="E118" s="2" t="s">
        <v>4227</v>
      </c>
      <c r="F118" s="10">
        <v>105.91</v>
      </c>
      <c r="G118" s="11">
        <f>(CV)*105.91</f>
        <v>105.91</v>
      </c>
    </row>
    <row r="119" spans="1:7" x14ac:dyDescent="0.2">
      <c r="A119" s="8" t="s">
        <v>2116</v>
      </c>
      <c r="B119" s="8">
        <v>11</v>
      </c>
      <c r="C119" s="8">
        <v>500</v>
      </c>
      <c r="D119" s="8">
        <v>1000</v>
      </c>
      <c r="E119" s="2" t="s">
        <v>2117</v>
      </c>
      <c r="F119" s="10">
        <v>111.84</v>
      </c>
      <c r="G119" s="11">
        <f>(CV)*111.84</f>
        <v>111.84</v>
      </c>
    </row>
    <row r="120" spans="1:7" x14ac:dyDescent="0.2">
      <c r="A120" s="8" t="s">
        <v>4228</v>
      </c>
      <c r="B120" s="8">
        <v>11</v>
      </c>
      <c r="C120" s="8">
        <v>500</v>
      </c>
      <c r="D120" s="8">
        <v>1000</v>
      </c>
      <c r="E120" s="2" t="s">
        <v>4229</v>
      </c>
      <c r="F120" s="10">
        <v>111.84</v>
      </c>
      <c r="G120" s="11">
        <f>(CV)*111.84</f>
        <v>111.84</v>
      </c>
    </row>
    <row r="121" spans="1:7" x14ac:dyDescent="0.2">
      <c r="A121" s="8" t="s">
        <v>2118</v>
      </c>
      <c r="B121" s="8">
        <v>11</v>
      </c>
      <c r="C121" s="8">
        <v>500</v>
      </c>
      <c r="D121" s="8">
        <v>1100</v>
      </c>
      <c r="E121" s="2" t="s">
        <v>2119</v>
      </c>
      <c r="F121" s="10">
        <v>117.57</v>
      </c>
      <c r="G121" s="11">
        <f>(CV)*117.57</f>
        <v>117.57</v>
      </c>
    </row>
    <row r="122" spans="1:7" x14ac:dyDescent="0.2">
      <c r="A122" s="8" t="s">
        <v>4230</v>
      </c>
      <c r="B122" s="8">
        <v>11</v>
      </c>
      <c r="C122" s="8">
        <v>500</v>
      </c>
      <c r="D122" s="8">
        <v>1100</v>
      </c>
      <c r="E122" s="2" t="s">
        <v>4231</v>
      </c>
      <c r="F122" s="10">
        <v>117.57</v>
      </c>
      <c r="G122" s="11">
        <f>(CV)*117.57</f>
        <v>117.57</v>
      </c>
    </row>
    <row r="123" spans="1:7" x14ac:dyDescent="0.2">
      <c r="A123" s="8" t="s">
        <v>2120</v>
      </c>
      <c r="B123" s="8">
        <v>11</v>
      </c>
      <c r="C123" s="8">
        <v>500</v>
      </c>
      <c r="D123" s="8">
        <v>1200</v>
      </c>
      <c r="E123" s="2" t="s">
        <v>2121</v>
      </c>
      <c r="F123" s="10">
        <v>123.11</v>
      </c>
      <c r="G123" s="11">
        <f>(CV)*123.11</f>
        <v>123.11</v>
      </c>
    </row>
    <row r="124" spans="1:7" x14ac:dyDescent="0.2">
      <c r="A124" s="8" t="s">
        <v>4232</v>
      </c>
      <c r="B124" s="8">
        <v>11</v>
      </c>
      <c r="C124" s="8">
        <v>500</v>
      </c>
      <c r="D124" s="8">
        <v>1200</v>
      </c>
      <c r="E124" s="2" t="s">
        <v>4233</v>
      </c>
      <c r="F124" s="10">
        <v>123.11</v>
      </c>
      <c r="G124" s="11">
        <f>(CV)*123.11</f>
        <v>123.11</v>
      </c>
    </row>
    <row r="125" spans="1:7" x14ac:dyDescent="0.2">
      <c r="A125" s="8" t="s">
        <v>2122</v>
      </c>
      <c r="B125" s="8">
        <v>11</v>
      </c>
      <c r="C125" s="8">
        <v>500</v>
      </c>
      <c r="D125" s="8">
        <v>1400</v>
      </c>
      <c r="E125" s="2" t="s">
        <v>2123</v>
      </c>
      <c r="F125" s="10">
        <v>134.97</v>
      </c>
      <c r="G125" s="11">
        <f>(CV)*134.97</f>
        <v>134.97</v>
      </c>
    </row>
    <row r="126" spans="1:7" x14ac:dyDescent="0.2">
      <c r="A126" s="8" t="s">
        <v>4234</v>
      </c>
      <c r="B126" s="8">
        <v>11</v>
      </c>
      <c r="C126" s="8">
        <v>500</v>
      </c>
      <c r="D126" s="8">
        <v>1400</v>
      </c>
      <c r="E126" s="2" t="s">
        <v>4235</v>
      </c>
      <c r="F126" s="10">
        <v>134.97</v>
      </c>
      <c r="G126" s="11">
        <f>(CV)*134.97</f>
        <v>134.97</v>
      </c>
    </row>
    <row r="127" spans="1:7" x14ac:dyDescent="0.2">
      <c r="A127" s="8" t="s">
        <v>2124</v>
      </c>
      <c r="B127" s="8">
        <v>11</v>
      </c>
      <c r="C127" s="8">
        <v>500</v>
      </c>
      <c r="D127" s="8">
        <v>1600</v>
      </c>
      <c r="E127" s="2" t="s">
        <v>2125</v>
      </c>
      <c r="F127" s="10">
        <v>146.83000000000001</v>
      </c>
      <c r="G127" s="11">
        <f>(CV)*146.83</f>
        <v>146.83000000000001</v>
      </c>
    </row>
    <row r="128" spans="1:7" x14ac:dyDescent="0.2">
      <c r="A128" s="8" t="s">
        <v>4236</v>
      </c>
      <c r="B128" s="8">
        <v>11</v>
      </c>
      <c r="C128" s="8">
        <v>500</v>
      </c>
      <c r="D128" s="8">
        <v>1600</v>
      </c>
      <c r="E128" s="2" t="s">
        <v>4237</v>
      </c>
      <c r="F128" s="10">
        <v>146.83000000000001</v>
      </c>
      <c r="G128" s="11">
        <f>(CV)*146.83</f>
        <v>146.83000000000001</v>
      </c>
    </row>
    <row r="129" spans="1:7" x14ac:dyDescent="0.2">
      <c r="A129" s="8" t="s">
        <v>2126</v>
      </c>
      <c r="B129" s="8">
        <v>11</v>
      </c>
      <c r="C129" s="8">
        <v>500</v>
      </c>
      <c r="D129" s="8">
        <v>1800</v>
      </c>
      <c r="E129" s="2" t="s">
        <v>2127</v>
      </c>
      <c r="F129" s="10">
        <v>158.49</v>
      </c>
      <c r="G129" s="11">
        <f>(CV)*158.49</f>
        <v>158.49</v>
      </c>
    </row>
    <row r="130" spans="1:7" x14ac:dyDescent="0.2">
      <c r="A130" s="8" t="s">
        <v>4238</v>
      </c>
      <c r="B130" s="8">
        <v>11</v>
      </c>
      <c r="C130" s="8">
        <v>500</v>
      </c>
      <c r="D130" s="8">
        <v>1800</v>
      </c>
      <c r="E130" s="2" t="s">
        <v>4239</v>
      </c>
      <c r="F130" s="10">
        <v>158.49</v>
      </c>
      <c r="G130" s="11">
        <f>(CV)*158.49</f>
        <v>158.49</v>
      </c>
    </row>
    <row r="131" spans="1:7" x14ac:dyDescent="0.2">
      <c r="A131" s="8" t="s">
        <v>2128</v>
      </c>
      <c r="B131" s="8">
        <v>11</v>
      </c>
      <c r="C131" s="8">
        <v>500</v>
      </c>
      <c r="D131" s="8">
        <v>2000</v>
      </c>
      <c r="E131" s="2" t="s">
        <v>2129</v>
      </c>
      <c r="F131" s="10">
        <v>170.91</v>
      </c>
      <c r="G131" s="11">
        <f>(CV)*170.91</f>
        <v>170.91</v>
      </c>
    </row>
    <row r="132" spans="1:7" x14ac:dyDescent="0.2">
      <c r="A132" s="8" t="s">
        <v>4240</v>
      </c>
      <c r="B132" s="8">
        <v>11</v>
      </c>
      <c r="C132" s="8">
        <v>500</v>
      </c>
      <c r="D132" s="8">
        <v>2000</v>
      </c>
      <c r="E132" s="2" t="s">
        <v>4241</v>
      </c>
      <c r="F132" s="10">
        <v>170.91</v>
      </c>
      <c r="G132" s="11">
        <f>(CV)*170.91</f>
        <v>170.91</v>
      </c>
    </row>
    <row r="133" spans="1:7" x14ac:dyDescent="0.2">
      <c r="A133" s="8" t="s">
        <v>2130</v>
      </c>
      <c r="B133" s="8">
        <v>11</v>
      </c>
      <c r="C133" s="8">
        <v>500</v>
      </c>
      <c r="D133" s="8">
        <v>2300</v>
      </c>
      <c r="E133" s="2" t="s">
        <v>2131</v>
      </c>
      <c r="F133" s="10">
        <v>188.49</v>
      </c>
      <c r="G133" s="11">
        <f>(CV)*188.49</f>
        <v>188.49</v>
      </c>
    </row>
    <row r="134" spans="1:7" x14ac:dyDescent="0.2">
      <c r="A134" s="8" t="s">
        <v>4242</v>
      </c>
      <c r="B134" s="8">
        <v>11</v>
      </c>
      <c r="C134" s="8">
        <v>500</v>
      </c>
      <c r="D134" s="8">
        <v>2300</v>
      </c>
      <c r="E134" s="2" t="s">
        <v>4243</v>
      </c>
      <c r="F134" s="10">
        <v>188.49</v>
      </c>
      <c r="G134" s="11">
        <f>(CV)*188.49</f>
        <v>188.49</v>
      </c>
    </row>
    <row r="135" spans="1:7" x14ac:dyDescent="0.2">
      <c r="A135" s="8" t="s">
        <v>2132</v>
      </c>
      <c r="B135" s="8">
        <v>11</v>
      </c>
      <c r="C135" s="8">
        <v>500</v>
      </c>
      <c r="D135" s="8">
        <v>2600</v>
      </c>
      <c r="E135" s="2" t="s">
        <v>2133</v>
      </c>
      <c r="F135" s="10">
        <v>206.37</v>
      </c>
      <c r="G135" s="11">
        <f>(CV)*206.37</f>
        <v>206.37</v>
      </c>
    </row>
    <row r="136" spans="1:7" x14ac:dyDescent="0.2">
      <c r="A136" s="8" t="s">
        <v>4244</v>
      </c>
      <c r="B136" s="8">
        <v>11</v>
      </c>
      <c r="C136" s="8">
        <v>500</v>
      </c>
      <c r="D136" s="8">
        <v>2600</v>
      </c>
      <c r="E136" s="2" t="s">
        <v>4245</v>
      </c>
      <c r="F136" s="10">
        <v>206.37</v>
      </c>
      <c r="G136" s="11">
        <f>(CV)*206.37</f>
        <v>206.37</v>
      </c>
    </row>
    <row r="137" spans="1:7" x14ac:dyDescent="0.2">
      <c r="A137" s="8" t="s">
        <v>2134</v>
      </c>
      <c r="B137" s="8">
        <v>11</v>
      </c>
      <c r="C137" s="8">
        <v>500</v>
      </c>
      <c r="D137" s="8">
        <v>3000</v>
      </c>
      <c r="E137" s="2" t="s">
        <v>2135</v>
      </c>
      <c r="F137" s="10">
        <v>230.35</v>
      </c>
      <c r="G137" s="11">
        <f>(CV)*230.35</f>
        <v>230.35</v>
      </c>
    </row>
    <row r="138" spans="1:7" x14ac:dyDescent="0.2">
      <c r="A138" s="8" t="s">
        <v>4246</v>
      </c>
      <c r="B138" s="8">
        <v>11</v>
      </c>
      <c r="C138" s="8">
        <v>500</v>
      </c>
      <c r="D138" s="8">
        <v>3000</v>
      </c>
      <c r="E138" s="2" t="s">
        <v>4247</v>
      </c>
      <c r="F138" s="10">
        <v>230.35</v>
      </c>
      <c r="G138" s="11">
        <f>(CV)*230.35</f>
        <v>230.35</v>
      </c>
    </row>
    <row r="139" spans="1:7" x14ac:dyDescent="0.2">
      <c r="A139" s="8" t="s">
        <v>2136</v>
      </c>
      <c r="B139" s="8">
        <v>11</v>
      </c>
      <c r="C139" s="8">
        <v>600</v>
      </c>
      <c r="D139" s="8">
        <v>400</v>
      </c>
      <c r="E139" s="2" t="s">
        <v>2137</v>
      </c>
      <c r="F139" s="10">
        <v>90.96</v>
      </c>
      <c r="G139" s="11">
        <f>(CV)*90.96</f>
        <v>90.96</v>
      </c>
    </row>
    <row r="140" spans="1:7" x14ac:dyDescent="0.2">
      <c r="A140" s="8" t="s">
        <v>4248</v>
      </c>
      <c r="B140" s="8">
        <v>11</v>
      </c>
      <c r="C140" s="8">
        <v>600</v>
      </c>
      <c r="D140" s="8">
        <v>400</v>
      </c>
      <c r="E140" s="2" t="s">
        <v>4249</v>
      </c>
      <c r="F140" s="10">
        <v>90.96</v>
      </c>
      <c r="G140" s="11">
        <f>(CV)*90.96</f>
        <v>90.96</v>
      </c>
    </row>
    <row r="141" spans="1:7" x14ac:dyDescent="0.2">
      <c r="A141" s="8" t="s">
        <v>2138</v>
      </c>
      <c r="B141" s="8">
        <v>11</v>
      </c>
      <c r="C141" s="8">
        <v>600</v>
      </c>
      <c r="D141" s="8">
        <v>500</v>
      </c>
      <c r="E141" s="2" t="s">
        <v>2139</v>
      </c>
      <c r="F141" s="10">
        <v>92.58</v>
      </c>
      <c r="G141" s="11">
        <f>(CV)*92.58</f>
        <v>92.58</v>
      </c>
    </row>
    <row r="142" spans="1:7" x14ac:dyDescent="0.2">
      <c r="A142" s="8" t="s">
        <v>4250</v>
      </c>
      <c r="B142" s="8">
        <v>11</v>
      </c>
      <c r="C142" s="8">
        <v>600</v>
      </c>
      <c r="D142" s="8">
        <v>500</v>
      </c>
      <c r="E142" s="2" t="s">
        <v>4251</v>
      </c>
      <c r="F142" s="10">
        <v>92.58</v>
      </c>
      <c r="G142" s="11">
        <f>(CV)*92.58</f>
        <v>92.58</v>
      </c>
    </row>
    <row r="143" spans="1:7" x14ac:dyDescent="0.2">
      <c r="A143" s="8" t="s">
        <v>2140</v>
      </c>
      <c r="B143" s="8">
        <v>11</v>
      </c>
      <c r="C143" s="8">
        <v>600</v>
      </c>
      <c r="D143" s="8">
        <v>600</v>
      </c>
      <c r="E143" s="2" t="s">
        <v>2141</v>
      </c>
      <c r="F143" s="10">
        <v>97.56</v>
      </c>
      <c r="G143" s="11">
        <f>(CV)*97.56</f>
        <v>97.56</v>
      </c>
    </row>
    <row r="144" spans="1:7" x14ac:dyDescent="0.2">
      <c r="A144" s="8" t="s">
        <v>4252</v>
      </c>
      <c r="B144" s="8">
        <v>11</v>
      </c>
      <c r="C144" s="8">
        <v>600</v>
      </c>
      <c r="D144" s="8">
        <v>600</v>
      </c>
      <c r="E144" s="2" t="s">
        <v>4253</v>
      </c>
      <c r="F144" s="10">
        <v>97.56</v>
      </c>
      <c r="G144" s="11">
        <f>(CV)*97.56</f>
        <v>97.56</v>
      </c>
    </row>
    <row r="145" spans="1:7" x14ac:dyDescent="0.2">
      <c r="A145" s="8" t="s">
        <v>2142</v>
      </c>
      <c r="B145" s="8">
        <v>11</v>
      </c>
      <c r="C145" s="8">
        <v>600</v>
      </c>
      <c r="D145" s="8">
        <v>700</v>
      </c>
      <c r="E145" s="2" t="s">
        <v>2143</v>
      </c>
      <c r="F145" s="10">
        <v>102.62</v>
      </c>
      <c r="G145" s="11">
        <f>(CV)*102.62</f>
        <v>102.62</v>
      </c>
    </row>
    <row r="146" spans="1:7" x14ac:dyDescent="0.2">
      <c r="A146" s="8" t="s">
        <v>4254</v>
      </c>
      <c r="B146" s="8">
        <v>11</v>
      </c>
      <c r="C146" s="8">
        <v>600</v>
      </c>
      <c r="D146" s="8">
        <v>700</v>
      </c>
      <c r="E146" s="2" t="s">
        <v>4255</v>
      </c>
      <c r="F146" s="10">
        <v>102.62</v>
      </c>
      <c r="G146" s="11">
        <f>(CV)*102.62</f>
        <v>102.62</v>
      </c>
    </row>
    <row r="147" spans="1:7" x14ac:dyDescent="0.2">
      <c r="A147" s="8" t="s">
        <v>2144</v>
      </c>
      <c r="B147" s="8">
        <v>11</v>
      </c>
      <c r="C147" s="8">
        <v>600</v>
      </c>
      <c r="D147" s="8">
        <v>800</v>
      </c>
      <c r="E147" s="2" t="s">
        <v>2145</v>
      </c>
      <c r="F147" s="10">
        <v>107.52</v>
      </c>
      <c r="G147" s="11">
        <f>(CV)*107.52</f>
        <v>107.52</v>
      </c>
    </row>
    <row r="148" spans="1:7" x14ac:dyDescent="0.2">
      <c r="A148" s="8" t="s">
        <v>4256</v>
      </c>
      <c r="B148" s="8">
        <v>11</v>
      </c>
      <c r="C148" s="8">
        <v>600</v>
      </c>
      <c r="D148" s="8">
        <v>800</v>
      </c>
      <c r="E148" s="2" t="s">
        <v>4257</v>
      </c>
      <c r="F148" s="10">
        <v>107.52</v>
      </c>
      <c r="G148" s="11">
        <f>(CV)*107.52</f>
        <v>107.52</v>
      </c>
    </row>
    <row r="149" spans="1:7" x14ac:dyDescent="0.2">
      <c r="A149" s="8" t="s">
        <v>2146</v>
      </c>
      <c r="B149" s="8">
        <v>11</v>
      </c>
      <c r="C149" s="8">
        <v>600</v>
      </c>
      <c r="D149" s="8">
        <v>900</v>
      </c>
      <c r="E149" s="2" t="s">
        <v>2147</v>
      </c>
      <c r="F149" s="10">
        <v>112.69</v>
      </c>
      <c r="G149" s="11">
        <f>(CV)*112.69</f>
        <v>112.69</v>
      </c>
    </row>
    <row r="150" spans="1:7" x14ac:dyDescent="0.2">
      <c r="A150" s="8" t="s">
        <v>4258</v>
      </c>
      <c r="B150" s="8">
        <v>11</v>
      </c>
      <c r="C150" s="8">
        <v>600</v>
      </c>
      <c r="D150" s="8">
        <v>900</v>
      </c>
      <c r="E150" s="2" t="s">
        <v>4259</v>
      </c>
      <c r="F150" s="10">
        <v>112.69</v>
      </c>
      <c r="G150" s="11">
        <f>(CV)*112.69</f>
        <v>112.69</v>
      </c>
    </row>
    <row r="151" spans="1:7" x14ac:dyDescent="0.2">
      <c r="A151" s="8" t="s">
        <v>2148</v>
      </c>
      <c r="B151" s="8">
        <v>11</v>
      </c>
      <c r="C151" s="8">
        <v>600</v>
      </c>
      <c r="D151" s="8">
        <v>1000</v>
      </c>
      <c r="E151" s="2" t="s">
        <v>2149</v>
      </c>
      <c r="F151" s="10">
        <v>117.93</v>
      </c>
      <c r="G151" s="11">
        <f>(CV)*117.93</f>
        <v>117.93</v>
      </c>
    </row>
    <row r="152" spans="1:7" x14ac:dyDescent="0.2">
      <c r="A152" s="8" t="s">
        <v>4260</v>
      </c>
      <c r="B152" s="8">
        <v>11</v>
      </c>
      <c r="C152" s="8">
        <v>600</v>
      </c>
      <c r="D152" s="8">
        <v>1000</v>
      </c>
      <c r="E152" s="2" t="s">
        <v>4261</v>
      </c>
      <c r="F152" s="10">
        <v>117.93</v>
      </c>
      <c r="G152" s="11">
        <f>(CV)*117.93</f>
        <v>117.93</v>
      </c>
    </row>
    <row r="153" spans="1:7" x14ac:dyDescent="0.2">
      <c r="A153" s="8" t="s">
        <v>2150</v>
      </c>
      <c r="B153" s="8">
        <v>11</v>
      </c>
      <c r="C153" s="8">
        <v>600</v>
      </c>
      <c r="D153" s="8">
        <v>1100</v>
      </c>
      <c r="E153" s="2" t="s">
        <v>2151</v>
      </c>
      <c r="F153" s="10">
        <v>124.06</v>
      </c>
      <c r="G153" s="11">
        <f>(CV)*124.06</f>
        <v>124.06</v>
      </c>
    </row>
    <row r="154" spans="1:7" x14ac:dyDescent="0.2">
      <c r="A154" s="8" t="s">
        <v>4262</v>
      </c>
      <c r="B154" s="8">
        <v>11</v>
      </c>
      <c r="C154" s="8">
        <v>600</v>
      </c>
      <c r="D154" s="8">
        <v>1100</v>
      </c>
      <c r="E154" s="2" t="s">
        <v>4263</v>
      </c>
      <c r="F154" s="10">
        <v>124.06</v>
      </c>
      <c r="G154" s="11">
        <f>(CV)*124.06</f>
        <v>124.06</v>
      </c>
    </row>
    <row r="155" spans="1:7" x14ac:dyDescent="0.2">
      <c r="A155" s="8" t="s">
        <v>2152</v>
      </c>
      <c r="B155" s="8">
        <v>11</v>
      </c>
      <c r="C155" s="8">
        <v>600</v>
      </c>
      <c r="D155" s="8">
        <v>1200</v>
      </c>
      <c r="E155" s="2" t="s">
        <v>2153</v>
      </c>
      <c r="F155" s="10">
        <v>130.35</v>
      </c>
      <c r="G155" s="11">
        <f>(CV)*130.35</f>
        <v>130.35</v>
      </c>
    </row>
    <row r="156" spans="1:7" x14ac:dyDescent="0.2">
      <c r="A156" s="8" t="s">
        <v>4264</v>
      </c>
      <c r="B156" s="8">
        <v>11</v>
      </c>
      <c r="C156" s="8">
        <v>600</v>
      </c>
      <c r="D156" s="8">
        <v>1200</v>
      </c>
      <c r="E156" s="2" t="s">
        <v>4265</v>
      </c>
      <c r="F156" s="10">
        <v>130.35</v>
      </c>
      <c r="G156" s="11">
        <f>(CV)*130.35</f>
        <v>130.35</v>
      </c>
    </row>
    <row r="157" spans="1:7" x14ac:dyDescent="0.2">
      <c r="A157" s="8" t="s">
        <v>2154</v>
      </c>
      <c r="B157" s="8">
        <v>11</v>
      </c>
      <c r="C157" s="8">
        <v>600</v>
      </c>
      <c r="D157" s="8">
        <v>1400</v>
      </c>
      <c r="E157" s="2" t="s">
        <v>2155</v>
      </c>
      <c r="F157" s="10">
        <v>143.02000000000001</v>
      </c>
      <c r="G157" s="11">
        <f>(CV)*143.02</f>
        <v>143.02000000000001</v>
      </c>
    </row>
    <row r="158" spans="1:7" x14ac:dyDescent="0.2">
      <c r="A158" s="8" t="s">
        <v>4266</v>
      </c>
      <c r="B158" s="8">
        <v>11</v>
      </c>
      <c r="C158" s="8">
        <v>600</v>
      </c>
      <c r="D158" s="8">
        <v>1400</v>
      </c>
      <c r="E158" s="2" t="s">
        <v>4267</v>
      </c>
      <c r="F158" s="10">
        <v>143.02000000000001</v>
      </c>
      <c r="G158" s="11">
        <f>(CV)*143.02</f>
        <v>143.02000000000001</v>
      </c>
    </row>
    <row r="159" spans="1:7" x14ac:dyDescent="0.2">
      <c r="A159" s="8" t="s">
        <v>2156</v>
      </c>
      <c r="B159" s="8">
        <v>11</v>
      </c>
      <c r="C159" s="8">
        <v>600</v>
      </c>
      <c r="D159" s="8">
        <v>1600</v>
      </c>
      <c r="E159" s="2" t="s">
        <v>2157</v>
      </c>
      <c r="F159" s="10">
        <v>159.44999999999999</v>
      </c>
      <c r="G159" s="11">
        <f>(CV)*159.45</f>
        <v>159.44999999999999</v>
      </c>
    </row>
    <row r="160" spans="1:7" x14ac:dyDescent="0.2">
      <c r="A160" s="8" t="s">
        <v>4268</v>
      </c>
      <c r="B160" s="8">
        <v>11</v>
      </c>
      <c r="C160" s="8">
        <v>600</v>
      </c>
      <c r="D160" s="8">
        <v>1600</v>
      </c>
      <c r="E160" s="2" t="s">
        <v>4269</v>
      </c>
      <c r="F160" s="10">
        <v>159.44999999999999</v>
      </c>
      <c r="G160" s="11">
        <f>(CV)*159.45</f>
        <v>159.44999999999999</v>
      </c>
    </row>
    <row r="161" spans="1:7" x14ac:dyDescent="0.2">
      <c r="A161" s="8" t="s">
        <v>2158</v>
      </c>
      <c r="B161" s="8">
        <v>11</v>
      </c>
      <c r="C161" s="8">
        <v>600</v>
      </c>
      <c r="D161" s="8">
        <v>1800</v>
      </c>
      <c r="E161" s="2" t="s">
        <v>2159</v>
      </c>
      <c r="F161" s="10">
        <v>175.49</v>
      </c>
      <c r="G161" s="11">
        <f>(CV)*175.49</f>
        <v>175.49</v>
      </c>
    </row>
    <row r="162" spans="1:7" x14ac:dyDescent="0.2">
      <c r="A162" s="8" t="s">
        <v>4270</v>
      </c>
      <c r="B162" s="8">
        <v>11</v>
      </c>
      <c r="C162" s="8">
        <v>600</v>
      </c>
      <c r="D162" s="8">
        <v>1800</v>
      </c>
      <c r="E162" s="2" t="s">
        <v>4271</v>
      </c>
      <c r="F162" s="10">
        <v>175.49</v>
      </c>
      <c r="G162" s="11">
        <f>(CV)*175.49</f>
        <v>175.49</v>
      </c>
    </row>
    <row r="163" spans="1:7" x14ac:dyDescent="0.2">
      <c r="A163" s="8" t="s">
        <v>2160</v>
      </c>
      <c r="B163" s="8">
        <v>11</v>
      </c>
      <c r="C163" s="8">
        <v>600</v>
      </c>
      <c r="D163" s="8">
        <v>2000</v>
      </c>
      <c r="E163" s="2" t="s">
        <v>2161</v>
      </c>
      <c r="F163" s="10">
        <v>187.1</v>
      </c>
      <c r="G163" s="11">
        <f>(CV)*187.1</f>
        <v>187.1</v>
      </c>
    </row>
    <row r="164" spans="1:7" x14ac:dyDescent="0.2">
      <c r="A164" s="8" t="s">
        <v>4272</v>
      </c>
      <c r="B164" s="8">
        <v>11</v>
      </c>
      <c r="C164" s="8">
        <v>600</v>
      </c>
      <c r="D164" s="8">
        <v>2000</v>
      </c>
      <c r="E164" s="2" t="s">
        <v>4273</v>
      </c>
      <c r="F164" s="10">
        <v>187.1</v>
      </c>
      <c r="G164" s="11">
        <f>(CV)*187.1</f>
        <v>187.1</v>
      </c>
    </row>
    <row r="165" spans="1:7" x14ac:dyDescent="0.2">
      <c r="A165" s="8" t="s">
        <v>2162</v>
      </c>
      <c r="B165" s="8">
        <v>11</v>
      </c>
      <c r="C165" s="8">
        <v>600</v>
      </c>
      <c r="D165" s="8">
        <v>2300</v>
      </c>
      <c r="E165" s="2" t="s">
        <v>2163</v>
      </c>
      <c r="F165" s="10">
        <v>206.73</v>
      </c>
      <c r="G165" s="11">
        <f>(CV)*206.73</f>
        <v>206.73</v>
      </c>
    </row>
    <row r="166" spans="1:7" x14ac:dyDescent="0.2">
      <c r="A166" s="8" t="s">
        <v>4274</v>
      </c>
      <c r="B166" s="8">
        <v>11</v>
      </c>
      <c r="C166" s="8">
        <v>600</v>
      </c>
      <c r="D166" s="8">
        <v>2300</v>
      </c>
      <c r="E166" s="2" t="s">
        <v>4275</v>
      </c>
      <c r="F166" s="10">
        <v>206.73</v>
      </c>
      <c r="G166" s="11">
        <f>(CV)*206.73</f>
        <v>206.73</v>
      </c>
    </row>
    <row r="167" spans="1:7" x14ac:dyDescent="0.2">
      <c r="A167" s="8" t="s">
        <v>2164</v>
      </c>
      <c r="B167" s="8">
        <v>11</v>
      </c>
      <c r="C167" s="8">
        <v>600</v>
      </c>
      <c r="D167" s="8">
        <v>2600</v>
      </c>
      <c r="E167" s="2" t="s">
        <v>2165</v>
      </c>
      <c r="F167" s="10">
        <v>230.18</v>
      </c>
      <c r="G167" s="11">
        <f>(CV)*230.18</f>
        <v>230.18</v>
      </c>
    </row>
    <row r="168" spans="1:7" x14ac:dyDescent="0.2">
      <c r="A168" s="8" t="s">
        <v>4276</v>
      </c>
      <c r="B168" s="8">
        <v>11</v>
      </c>
      <c r="C168" s="8">
        <v>600</v>
      </c>
      <c r="D168" s="8">
        <v>2600</v>
      </c>
      <c r="E168" s="2" t="s">
        <v>4277</v>
      </c>
      <c r="F168" s="10">
        <v>230.18</v>
      </c>
      <c r="G168" s="11">
        <f>(CV)*230.18</f>
        <v>230.18</v>
      </c>
    </row>
    <row r="169" spans="1:7" x14ac:dyDescent="0.2">
      <c r="A169" s="8" t="s">
        <v>2166</v>
      </c>
      <c r="B169" s="8">
        <v>11</v>
      </c>
      <c r="C169" s="8">
        <v>600</v>
      </c>
      <c r="D169" s="8">
        <v>3000</v>
      </c>
      <c r="E169" s="2" t="s">
        <v>2167</v>
      </c>
      <c r="F169" s="10">
        <v>253.65</v>
      </c>
      <c r="G169" s="11">
        <f>(CV)*253.65</f>
        <v>253.65</v>
      </c>
    </row>
    <row r="170" spans="1:7" x14ac:dyDescent="0.2">
      <c r="A170" s="8" t="s">
        <v>4278</v>
      </c>
      <c r="B170" s="8">
        <v>11</v>
      </c>
      <c r="C170" s="8">
        <v>600</v>
      </c>
      <c r="D170" s="8">
        <v>3000</v>
      </c>
      <c r="E170" s="2" t="s">
        <v>4279</v>
      </c>
      <c r="F170" s="10">
        <v>253.65</v>
      </c>
      <c r="G170" s="11">
        <f>(CV)*253.65</f>
        <v>253.65</v>
      </c>
    </row>
    <row r="171" spans="1:7" x14ac:dyDescent="0.2">
      <c r="A171" s="8" t="s">
        <v>2168</v>
      </c>
      <c r="B171" s="8">
        <v>11</v>
      </c>
      <c r="C171" s="8">
        <v>900</v>
      </c>
      <c r="D171" s="8">
        <v>400</v>
      </c>
      <c r="E171" s="2" t="s">
        <v>2169</v>
      </c>
      <c r="F171" s="10">
        <v>99.52</v>
      </c>
      <c r="G171" s="11">
        <f>(CV)*99.52</f>
        <v>99.52</v>
      </c>
    </row>
    <row r="172" spans="1:7" x14ac:dyDescent="0.2">
      <c r="A172" s="8" t="s">
        <v>4280</v>
      </c>
      <c r="B172" s="8">
        <v>11</v>
      </c>
      <c r="C172" s="8">
        <v>900</v>
      </c>
      <c r="D172" s="8">
        <v>400</v>
      </c>
      <c r="E172" s="2" t="s">
        <v>4281</v>
      </c>
      <c r="F172" s="10">
        <v>99.52</v>
      </c>
      <c r="G172" s="11">
        <f>(CV)*99.52</f>
        <v>99.52</v>
      </c>
    </row>
    <row r="173" spans="1:7" x14ac:dyDescent="0.2">
      <c r="A173" s="8" t="s">
        <v>2170</v>
      </c>
      <c r="B173" s="8">
        <v>11</v>
      </c>
      <c r="C173" s="8">
        <v>900</v>
      </c>
      <c r="D173" s="8">
        <v>500</v>
      </c>
      <c r="E173" s="2" t="s">
        <v>2171</v>
      </c>
      <c r="F173" s="10">
        <v>107.04</v>
      </c>
      <c r="G173" s="11">
        <f>(CV)*107.04</f>
        <v>107.04</v>
      </c>
    </row>
    <row r="174" spans="1:7" x14ac:dyDescent="0.2">
      <c r="A174" s="8" t="s">
        <v>4282</v>
      </c>
      <c r="B174" s="8">
        <v>11</v>
      </c>
      <c r="C174" s="8">
        <v>900</v>
      </c>
      <c r="D174" s="8">
        <v>500</v>
      </c>
      <c r="E174" s="2" t="s">
        <v>4283</v>
      </c>
      <c r="F174" s="10">
        <v>107.04</v>
      </c>
      <c r="G174" s="11">
        <f>(CV)*107.04</f>
        <v>107.04</v>
      </c>
    </row>
    <row r="175" spans="1:7" x14ac:dyDescent="0.2">
      <c r="A175" s="8" t="s">
        <v>2172</v>
      </c>
      <c r="B175" s="8">
        <v>11</v>
      </c>
      <c r="C175" s="8">
        <v>900</v>
      </c>
      <c r="D175" s="8">
        <v>600</v>
      </c>
      <c r="E175" s="2" t="s">
        <v>2173</v>
      </c>
      <c r="F175" s="10">
        <v>115.23</v>
      </c>
      <c r="G175" s="11">
        <f>(CV)*115.23</f>
        <v>115.23</v>
      </c>
    </row>
    <row r="176" spans="1:7" x14ac:dyDescent="0.2">
      <c r="A176" s="8" t="s">
        <v>4284</v>
      </c>
      <c r="B176" s="8">
        <v>11</v>
      </c>
      <c r="C176" s="8">
        <v>900</v>
      </c>
      <c r="D176" s="8">
        <v>600</v>
      </c>
      <c r="E176" s="2" t="s">
        <v>4285</v>
      </c>
      <c r="F176" s="10">
        <v>115.23</v>
      </c>
      <c r="G176" s="11">
        <f>(CV)*115.23</f>
        <v>115.23</v>
      </c>
    </row>
    <row r="177" spans="1:7" x14ac:dyDescent="0.2">
      <c r="A177" s="8" t="s">
        <v>2174</v>
      </c>
      <c r="B177" s="8">
        <v>11</v>
      </c>
      <c r="C177" s="8">
        <v>900</v>
      </c>
      <c r="D177" s="8">
        <v>700</v>
      </c>
      <c r="E177" s="2" t="s">
        <v>2175</v>
      </c>
      <c r="F177" s="10">
        <v>122.58</v>
      </c>
      <c r="G177" s="11">
        <f>(CV)*122.58</f>
        <v>122.58</v>
      </c>
    </row>
    <row r="178" spans="1:7" x14ac:dyDescent="0.2">
      <c r="A178" s="8" t="s">
        <v>4286</v>
      </c>
      <c r="B178" s="8">
        <v>11</v>
      </c>
      <c r="C178" s="8">
        <v>900</v>
      </c>
      <c r="D178" s="8">
        <v>700</v>
      </c>
      <c r="E178" s="2" t="s">
        <v>4287</v>
      </c>
      <c r="F178" s="10">
        <v>122.58</v>
      </c>
      <c r="G178" s="11">
        <f>(CV)*122.58</f>
        <v>122.58</v>
      </c>
    </row>
    <row r="179" spans="1:7" x14ac:dyDescent="0.2">
      <c r="A179" s="8" t="s">
        <v>2176</v>
      </c>
      <c r="B179" s="8">
        <v>11</v>
      </c>
      <c r="C179" s="8">
        <v>900</v>
      </c>
      <c r="D179" s="8">
        <v>800</v>
      </c>
      <c r="E179" s="2" t="s">
        <v>2177</v>
      </c>
      <c r="F179" s="10">
        <v>129.85</v>
      </c>
      <c r="G179" s="11">
        <f>(CV)*129.85</f>
        <v>129.85</v>
      </c>
    </row>
    <row r="180" spans="1:7" x14ac:dyDescent="0.2">
      <c r="A180" s="8" t="s">
        <v>4288</v>
      </c>
      <c r="B180" s="8">
        <v>11</v>
      </c>
      <c r="C180" s="8">
        <v>900</v>
      </c>
      <c r="D180" s="8">
        <v>800</v>
      </c>
      <c r="E180" s="2" t="s">
        <v>4289</v>
      </c>
      <c r="F180" s="10">
        <v>129.85</v>
      </c>
      <c r="G180" s="11">
        <f>(CV)*129.85</f>
        <v>129.85</v>
      </c>
    </row>
    <row r="181" spans="1:7" x14ac:dyDescent="0.2">
      <c r="A181" s="8" t="s">
        <v>2178</v>
      </c>
      <c r="B181" s="8">
        <v>11</v>
      </c>
      <c r="C181" s="8">
        <v>900</v>
      </c>
      <c r="D181" s="8">
        <v>900</v>
      </c>
      <c r="E181" s="2" t="s">
        <v>2179</v>
      </c>
      <c r="F181" s="10">
        <v>136.88999999999999</v>
      </c>
      <c r="G181" s="11">
        <f>(CV)*136.89</f>
        <v>136.88999999999999</v>
      </c>
    </row>
    <row r="182" spans="1:7" x14ac:dyDescent="0.2">
      <c r="A182" s="8" t="s">
        <v>4290</v>
      </c>
      <c r="B182" s="8">
        <v>11</v>
      </c>
      <c r="C182" s="8">
        <v>900</v>
      </c>
      <c r="D182" s="8">
        <v>900</v>
      </c>
      <c r="E182" s="2" t="s">
        <v>4291</v>
      </c>
      <c r="F182" s="10">
        <v>136.88999999999999</v>
      </c>
      <c r="G182" s="11">
        <f>(CV)*136.89</f>
        <v>136.88999999999999</v>
      </c>
    </row>
    <row r="183" spans="1:7" x14ac:dyDescent="0.2">
      <c r="A183" s="8" t="s">
        <v>2180</v>
      </c>
      <c r="B183" s="8">
        <v>11</v>
      </c>
      <c r="C183" s="8">
        <v>900</v>
      </c>
      <c r="D183" s="8">
        <v>1000</v>
      </c>
      <c r="E183" s="2" t="s">
        <v>2181</v>
      </c>
      <c r="F183" s="10">
        <v>146.37</v>
      </c>
      <c r="G183" s="11">
        <f>(CV)*146.37</f>
        <v>146.37</v>
      </c>
    </row>
    <row r="184" spans="1:7" x14ac:dyDescent="0.2">
      <c r="A184" s="8" t="s">
        <v>4292</v>
      </c>
      <c r="B184" s="8">
        <v>11</v>
      </c>
      <c r="C184" s="8">
        <v>900</v>
      </c>
      <c r="D184" s="8">
        <v>1000</v>
      </c>
      <c r="E184" s="2" t="s">
        <v>4293</v>
      </c>
      <c r="F184" s="10">
        <v>146.37</v>
      </c>
      <c r="G184" s="11">
        <f>(CV)*146.37</f>
        <v>146.37</v>
      </c>
    </row>
    <row r="185" spans="1:7" x14ac:dyDescent="0.2">
      <c r="A185" s="8" t="s">
        <v>2182</v>
      </c>
      <c r="B185" s="8">
        <v>11</v>
      </c>
      <c r="C185" s="8">
        <v>900</v>
      </c>
      <c r="D185" s="8">
        <v>1100</v>
      </c>
      <c r="E185" s="2" t="s">
        <v>2183</v>
      </c>
      <c r="F185" s="10">
        <v>155.94</v>
      </c>
      <c r="G185" s="11">
        <f>(CV)*155.94</f>
        <v>155.94</v>
      </c>
    </row>
    <row r="186" spans="1:7" x14ac:dyDescent="0.2">
      <c r="A186" s="8" t="s">
        <v>4294</v>
      </c>
      <c r="B186" s="8">
        <v>11</v>
      </c>
      <c r="C186" s="8">
        <v>900</v>
      </c>
      <c r="D186" s="8">
        <v>1100</v>
      </c>
      <c r="E186" s="2" t="s">
        <v>4295</v>
      </c>
      <c r="F186" s="10">
        <v>155.94</v>
      </c>
      <c r="G186" s="11">
        <f>(CV)*155.94</f>
        <v>155.94</v>
      </c>
    </row>
    <row r="187" spans="1:7" x14ac:dyDescent="0.2">
      <c r="A187" s="8" t="s">
        <v>2184</v>
      </c>
      <c r="B187" s="8">
        <v>11</v>
      </c>
      <c r="C187" s="8">
        <v>900</v>
      </c>
      <c r="D187" s="8">
        <v>1200</v>
      </c>
      <c r="E187" s="2" t="s">
        <v>2185</v>
      </c>
      <c r="F187" s="10">
        <v>165.42</v>
      </c>
      <c r="G187" s="11">
        <f>(CV)*165.42</f>
        <v>165.42</v>
      </c>
    </row>
    <row r="188" spans="1:7" x14ac:dyDescent="0.2">
      <c r="A188" s="8" t="s">
        <v>4296</v>
      </c>
      <c r="B188" s="8">
        <v>11</v>
      </c>
      <c r="C188" s="8">
        <v>900</v>
      </c>
      <c r="D188" s="8">
        <v>1200</v>
      </c>
      <c r="E188" s="2" t="s">
        <v>4297</v>
      </c>
      <c r="F188" s="10">
        <v>165.42</v>
      </c>
      <c r="G188" s="11">
        <f>(CV)*165.42</f>
        <v>165.42</v>
      </c>
    </row>
    <row r="189" spans="1:7" x14ac:dyDescent="0.2">
      <c r="A189" s="8" t="s">
        <v>2186</v>
      </c>
      <c r="B189" s="8">
        <v>11</v>
      </c>
      <c r="C189" s="8">
        <v>900</v>
      </c>
      <c r="D189" s="8">
        <v>1400</v>
      </c>
      <c r="E189" s="2" t="s">
        <v>2187</v>
      </c>
      <c r="F189" s="10">
        <v>185.39</v>
      </c>
      <c r="G189" s="11">
        <f>(CV)*185.39</f>
        <v>185.39</v>
      </c>
    </row>
    <row r="190" spans="1:7" x14ac:dyDescent="0.2">
      <c r="A190" s="8" t="s">
        <v>4298</v>
      </c>
      <c r="B190" s="8">
        <v>11</v>
      </c>
      <c r="C190" s="8">
        <v>900</v>
      </c>
      <c r="D190" s="8">
        <v>1400</v>
      </c>
      <c r="E190" s="2" t="s">
        <v>4299</v>
      </c>
      <c r="F190" s="10">
        <v>185.39</v>
      </c>
      <c r="G190" s="11">
        <f>(CV)*185.39</f>
        <v>185.39</v>
      </c>
    </row>
    <row r="191" spans="1:7" x14ac:dyDescent="0.2">
      <c r="A191" s="8" t="s">
        <v>2188</v>
      </c>
      <c r="B191" s="8">
        <v>11</v>
      </c>
      <c r="C191" s="8">
        <v>900</v>
      </c>
      <c r="D191" s="8">
        <v>1600</v>
      </c>
      <c r="E191" s="2" t="s">
        <v>2189</v>
      </c>
      <c r="F191" s="10">
        <v>204.68</v>
      </c>
      <c r="G191" s="11">
        <f>(CV)*204.68</f>
        <v>204.68</v>
      </c>
    </row>
    <row r="192" spans="1:7" x14ac:dyDescent="0.2">
      <c r="A192" s="8" t="s">
        <v>4300</v>
      </c>
      <c r="B192" s="8">
        <v>11</v>
      </c>
      <c r="C192" s="8">
        <v>900</v>
      </c>
      <c r="D192" s="8">
        <v>1600</v>
      </c>
      <c r="E192" s="2" t="s">
        <v>4301</v>
      </c>
      <c r="F192" s="10">
        <v>204.68</v>
      </c>
      <c r="G192" s="11">
        <f>(CV)*204.68</f>
        <v>204.68</v>
      </c>
    </row>
    <row r="193" spans="1:7" x14ac:dyDescent="0.2">
      <c r="A193" s="8" t="s">
        <v>2190</v>
      </c>
      <c r="B193" s="8">
        <v>11</v>
      </c>
      <c r="C193" s="8">
        <v>900</v>
      </c>
      <c r="D193" s="8">
        <v>1800</v>
      </c>
      <c r="E193" s="2" t="s">
        <v>2191</v>
      </c>
      <c r="F193" s="10">
        <v>224.95</v>
      </c>
      <c r="G193" s="11">
        <f>(CV)*224.95</f>
        <v>224.95</v>
      </c>
    </row>
    <row r="194" spans="1:7" x14ac:dyDescent="0.2">
      <c r="A194" s="8" t="s">
        <v>4302</v>
      </c>
      <c r="B194" s="8">
        <v>11</v>
      </c>
      <c r="C194" s="8">
        <v>900</v>
      </c>
      <c r="D194" s="8">
        <v>1800</v>
      </c>
      <c r="E194" s="2" t="s">
        <v>4303</v>
      </c>
      <c r="F194" s="10">
        <v>224.95</v>
      </c>
      <c r="G194" s="11">
        <f>(CV)*224.95</f>
        <v>224.95</v>
      </c>
    </row>
    <row r="195" spans="1:7" x14ac:dyDescent="0.2">
      <c r="A195" s="8" t="s">
        <v>2192</v>
      </c>
      <c r="B195" s="8">
        <v>11</v>
      </c>
      <c r="C195" s="8">
        <v>900</v>
      </c>
      <c r="D195" s="8">
        <v>2000</v>
      </c>
      <c r="E195" s="2" t="s">
        <v>2193</v>
      </c>
      <c r="F195" s="10">
        <v>244.25</v>
      </c>
      <c r="G195" s="11">
        <f>(CV)*244.25</f>
        <v>244.25</v>
      </c>
    </row>
    <row r="196" spans="1:7" x14ac:dyDescent="0.2">
      <c r="A196" s="8" t="s">
        <v>4304</v>
      </c>
      <c r="B196" s="8">
        <v>11</v>
      </c>
      <c r="C196" s="8">
        <v>900</v>
      </c>
      <c r="D196" s="8">
        <v>2000</v>
      </c>
      <c r="E196" s="2" t="s">
        <v>4305</v>
      </c>
      <c r="F196" s="10">
        <v>244.25</v>
      </c>
      <c r="G196" s="11">
        <f>(CV)*244.25</f>
        <v>244.25</v>
      </c>
    </row>
    <row r="197" spans="1:7" x14ac:dyDescent="0.2">
      <c r="A197" s="8" t="s">
        <v>2194</v>
      </c>
      <c r="B197" s="8">
        <v>11</v>
      </c>
      <c r="C197" s="8">
        <v>900</v>
      </c>
      <c r="D197" s="8">
        <v>2300</v>
      </c>
      <c r="E197" s="2" t="s">
        <v>2195</v>
      </c>
      <c r="F197" s="10">
        <v>268.3</v>
      </c>
      <c r="G197" s="11">
        <f>(CV)*268.3</f>
        <v>268.3</v>
      </c>
    </row>
    <row r="198" spans="1:7" x14ac:dyDescent="0.2">
      <c r="A198" s="8" t="s">
        <v>4306</v>
      </c>
      <c r="B198" s="8">
        <v>11</v>
      </c>
      <c r="C198" s="8">
        <v>900</v>
      </c>
      <c r="D198" s="8">
        <v>2300</v>
      </c>
      <c r="E198" s="2" t="s">
        <v>4307</v>
      </c>
      <c r="F198" s="10">
        <v>268.3</v>
      </c>
      <c r="G198" s="11">
        <f>(CV)*268.3</f>
        <v>268.3</v>
      </c>
    </row>
    <row r="199" spans="1:7" x14ac:dyDescent="0.2">
      <c r="A199" s="8" t="s">
        <v>2196</v>
      </c>
      <c r="B199" s="8">
        <v>11</v>
      </c>
      <c r="C199" s="8">
        <v>900</v>
      </c>
      <c r="D199" s="8">
        <v>2600</v>
      </c>
      <c r="E199" s="2" t="s">
        <v>2197</v>
      </c>
      <c r="F199" s="10">
        <v>294.62</v>
      </c>
      <c r="G199" s="11">
        <f>(CV)*294.62</f>
        <v>294.62</v>
      </c>
    </row>
    <row r="200" spans="1:7" x14ac:dyDescent="0.2">
      <c r="A200" s="8" t="s">
        <v>4308</v>
      </c>
      <c r="B200" s="8">
        <v>11</v>
      </c>
      <c r="C200" s="8">
        <v>900</v>
      </c>
      <c r="D200" s="8">
        <v>2600</v>
      </c>
      <c r="E200" s="2" t="s">
        <v>4309</v>
      </c>
      <c r="F200" s="10">
        <v>294.62</v>
      </c>
      <c r="G200" s="11">
        <f>(CV)*294.62</f>
        <v>294.62</v>
      </c>
    </row>
    <row r="201" spans="1:7" x14ac:dyDescent="0.2">
      <c r="A201" s="8" t="s">
        <v>2198</v>
      </c>
      <c r="B201" s="8">
        <v>11</v>
      </c>
      <c r="C201" s="8">
        <v>900</v>
      </c>
      <c r="D201" s="8">
        <v>3000</v>
      </c>
      <c r="E201" s="2" t="s">
        <v>2199</v>
      </c>
      <c r="F201" s="10">
        <v>330.05</v>
      </c>
      <c r="G201" s="11">
        <f>(CV)*330.05</f>
        <v>330.05</v>
      </c>
    </row>
    <row r="202" spans="1:7" x14ac:dyDescent="0.2">
      <c r="A202" s="8" t="s">
        <v>4310</v>
      </c>
      <c r="B202" s="8">
        <v>11</v>
      </c>
      <c r="C202" s="8">
        <v>900</v>
      </c>
      <c r="D202" s="8">
        <v>3000</v>
      </c>
      <c r="E202" s="2" t="s">
        <v>4311</v>
      </c>
      <c r="F202" s="10">
        <v>330.05</v>
      </c>
      <c r="G202" s="11">
        <f>(CV)*330.05</f>
        <v>330.05</v>
      </c>
    </row>
    <row r="203" spans="1:7" x14ac:dyDescent="0.2">
      <c r="A203" s="8" t="s">
        <v>2200</v>
      </c>
      <c r="B203" s="8">
        <v>21</v>
      </c>
      <c r="C203" s="8">
        <v>200</v>
      </c>
      <c r="D203" s="8">
        <v>600</v>
      </c>
      <c r="E203" s="2" t="s">
        <v>2201</v>
      </c>
      <c r="F203" s="10">
        <v>85.07</v>
      </c>
      <c r="G203" s="11">
        <f>(CV)*85.07</f>
        <v>85.07</v>
      </c>
    </row>
    <row r="204" spans="1:7" x14ac:dyDescent="0.2">
      <c r="A204" s="8" t="s">
        <v>2202</v>
      </c>
      <c r="B204" s="8">
        <v>21</v>
      </c>
      <c r="C204" s="8">
        <v>200</v>
      </c>
      <c r="D204" s="8">
        <v>700</v>
      </c>
      <c r="E204" s="2" t="s">
        <v>2203</v>
      </c>
      <c r="F204" s="10">
        <v>91.36</v>
      </c>
      <c r="G204" s="11">
        <f>(CV)*91.36</f>
        <v>91.36</v>
      </c>
    </row>
    <row r="205" spans="1:7" x14ac:dyDescent="0.2">
      <c r="A205" s="8" t="s">
        <v>2204</v>
      </c>
      <c r="B205" s="8">
        <v>21</v>
      </c>
      <c r="C205" s="8">
        <v>200</v>
      </c>
      <c r="D205" s="8">
        <v>800</v>
      </c>
      <c r="E205" s="2" t="s">
        <v>2205</v>
      </c>
      <c r="F205" s="10">
        <v>97.88</v>
      </c>
      <c r="G205" s="11">
        <f>(CV)*97.88</f>
        <v>97.88</v>
      </c>
    </row>
    <row r="206" spans="1:7" x14ac:dyDescent="0.2">
      <c r="A206" s="8" t="s">
        <v>2206</v>
      </c>
      <c r="B206" s="8">
        <v>21</v>
      </c>
      <c r="C206" s="8">
        <v>200</v>
      </c>
      <c r="D206" s="8">
        <v>900</v>
      </c>
      <c r="E206" s="2" t="s">
        <v>2207</v>
      </c>
      <c r="F206" s="10">
        <v>103.82</v>
      </c>
      <c r="G206" s="11">
        <f>(CV)*103.82</f>
        <v>103.82</v>
      </c>
    </row>
    <row r="207" spans="1:7" x14ac:dyDescent="0.2">
      <c r="A207" s="8" t="s">
        <v>2208</v>
      </c>
      <c r="B207" s="8">
        <v>21</v>
      </c>
      <c r="C207" s="8">
        <v>200</v>
      </c>
      <c r="D207" s="8">
        <v>1000</v>
      </c>
      <c r="E207" s="2" t="s">
        <v>2209</v>
      </c>
      <c r="F207" s="10">
        <v>109.77</v>
      </c>
      <c r="G207" s="11">
        <f>(CV)*109.77</f>
        <v>109.77</v>
      </c>
    </row>
    <row r="208" spans="1:7" x14ac:dyDescent="0.2">
      <c r="A208" s="8" t="s">
        <v>2210</v>
      </c>
      <c r="B208" s="8">
        <v>21</v>
      </c>
      <c r="C208" s="8">
        <v>200</v>
      </c>
      <c r="D208" s="8">
        <v>1100</v>
      </c>
      <c r="E208" s="2" t="s">
        <v>2211</v>
      </c>
      <c r="F208" s="10">
        <v>115.74</v>
      </c>
      <c r="G208" s="11">
        <f>(CV)*115.74</f>
        <v>115.74</v>
      </c>
    </row>
    <row r="209" spans="1:7" x14ac:dyDescent="0.2">
      <c r="A209" s="8" t="s">
        <v>2212</v>
      </c>
      <c r="B209" s="8">
        <v>21</v>
      </c>
      <c r="C209" s="8">
        <v>200</v>
      </c>
      <c r="D209" s="8">
        <v>1200</v>
      </c>
      <c r="E209" s="2" t="s">
        <v>2213</v>
      </c>
      <c r="F209" s="10">
        <v>121.45</v>
      </c>
      <c r="G209" s="11">
        <f>(CV)*121.45</f>
        <v>121.45</v>
      </c>
    </row>
    <row r="210" spans="1:7" x14ac:dyDescent="0.2">
      <c r="A210" s="8" t="s">
        <v>2214</v>
      </c>
      <c r="B210" s="8">
        <v>21</v>
      </c>
      <c r="C210" s="8">
        <v>200</v>
      </c>
      <c r="D210" s="8">
        <v>1400</v>
      </c>
      <c r="E210" s="2" t="s">
        <v>2215</v>
      </c>
      <c r="F210" s="10">
        <v>133.28</v>
      </c>
      <c r="G210" s="11">
        <f>(CV)*133.28</f>
        <v>133.28</v>
      </c>
    </row>
    <row r="211" spans="1:7" x14ac:dyDescent="0.2">
      <c r="A211" s="8" t="s">
        <v>2216</v>
      </c>
      <c r="B211" s="8">
        <v>21</v>
      </c>
      <c r="C211" s="8">
        <v>200</v>
      </c>
      <c r="D211" s="8">
        <v>1600</v>
      </c>
      <c r="E211" s="2" t="s">
        <v>2217</v>
      </c>
      <c r="F211" s="10">
        <v>145.33000000000001</v>
      </c>
      <c r="G211" s="11">
        <f>(CV)*145.33</f>
        <v>145.33000000000001</v>
      </c>
    </row>
    <row r="212" spans="1:7" x14ac:dyDescent="0.2">
      <c r="A212" s="8" t="s">
        <v>2218</v>
      </c>
      <c r="B212" s="8">
        <v>21</v>
      </c>
      <c r="C212" s="8">
        <v>200</v>
      </c>
      <c r="D212" s="8">
        <v>1800</v>
      </c>
      <c r="E212" s="2" t="s">
        <v>2219</v>
      </c>
      <c r="F212" s="10">
        <v>157.97</v>
      </c>
      <c r="G212" s="11">
        <f>(CV)*157.97</f>
        <v>157.97</v>
      </c>
    </row>
    <row r="213" spans="1:7" x14ac:dyDescent="0.2">
      <c r="A213" s="8" t="s">
        <v>2220</v>
      </c>
      <c r="B213" s="8">
        <v>21</v>
      </c>
      <c r="C213" s="8">
        <v>200</v>
      </c>
      <c r="D213" s="8">
        <v>2000</v>
      </c>
      <c r="E213" s="2" t="s">
        <v>2221</v>
      </c>
      <c r="F213" s="10">
        <v>169.34</v>
      </c>
      <c r="G213" s="11">
        <f>(CV)*169.34</f>
        <v>169.34</v>
      </c>
    </row>
    <row r="214" spans="1:7" x14ac:dyDescent="0.2">
      <c r="A214" s="8" t="s">
        <v>2222</v>
      </c>
      <c r="B214" s="8">
        <v>21</v>
      </c>
      <c r="C214" s="8">
        <v>200</v>
      </c>
      <c r="D214" s="8">
        <v>2300</v>
      </c>
      <c r="E214" s="2" t="s">
        <v>2223</v>
      </c>
      <c r="F214" s="10">
        <v>187.5</v>
      </c>
      <c r="G214" s="11">
        <f>(CV)*187.5</f>
        <v>187.5</v>
      </c>
    </row>
    <row r="215" spans="1:7" x14ac:dyDescent="0.2">
      <c r="A215" s="8" t="s">
        <v>2224</v>
      </c>
      <c r="B215" s="8">
        <v>21</v>
      </c>
      <c r="C215" s="8">
        <v>200</v>
      </c>
      <c r="D215" s="8">
        <v>2600</v>
      </c>
      <c r="E215" s="2" t="s">
        <v>2225</v>
      </c>
      <c r="F215" s="10">
        <v>208.54</v>
      </c>
      <c r="G215" s="11">
        <f>(CV)*208.54</f>
        <v>208.54</v>
      </c>
    </row>
    <row r="216" spans="1:7" x14ac:dyDescent="0.2">
      <c r="A216" s="8" t="s">
        <v>2226</v>
      </c>
      <c r="B216" s="8">
        <v>21</v>
      </c>
      <c r="C216" s="8">
        <v>200</v>
      </c>
      <c r="D216" s="8">
        <v>3000</v>
      </c>
      <c r="E216" s="2" t="s">
        <v>2227</v>
      </c>
      <c r="F216" s="10">
        <v>229.45</v>
      </c>
      <c r="G216" s="11">
        <f>(CV)*229.45</f>
        <v>229.45</v>
      </c>
    </row>
    <row r="217" spans="1:7" x14ac:dyDescent="0.2">
      <c r="A217" s="8" t="s">
        <v>2228</v>
      </c>
      <c r="B217" s="8">
        <v>21</v>
      </c>
      <c r="C217" s="8">
        <v>300</v>
      </c>
      <c r="D217" s="8">
        <v>400</v>
      </c>
      <c r="E217" s="2" t="s">
        <v>2229</v>
      </c>
      <c r="F217" s="10">
        <v>89.94</v>
      </c>
      <c r="G217" s="11">
        <f>(CV)*89.94</f>
        <v>89.94</v>
      </c>
    </row>
    <row r="218" spans="1:7" x14ac:dyDescent="0.2">
      <c r="A218" s="8" t="s">
        <v>2230</v>
      </c>
      <c r="B218" s="8">
        <v>21</v>
      </c>
      <c r="C218" s="8">
        <v>300</v>
      </c>
      <c r="D218" s="8">
        <v>500</v>
      </c>
      <c r="E218" s="2" t="s">
        <v>2231</v>
      </c>
      <c r="F218" s="10">
        <v>99.27</v>
      </c>
      <c r="G218" s="11">
        <f>(CV)*99.27</f>
        <v>99.27</v>
      </c>
    </row>
    <row r="219" spans="1:7" x14ac:dyDescent="0.2">
      <c r="A219" s="8" t="s">
        <v>2232</v>
      </c>
      <c r="B219" s="8">
        <v>21</v>
      </c>
      <c r="C219" s="8">
        <v>300</v>
      </c>
      <c r="D219" s="8">
        <v>600</v>
      </c>
      <c r="E219" s="2" t="s">
        <v>2233</v>
      </c>
      <c r="F219" s="10">
        <v>107.04</v>
      </c>
      <c r="G219" s="11">
        <f>(CV)*107.04</f>
        <v>107.04</v>
      </c>
    </row>
    <row r="220" spans="1:7" x14ac:dyDescent="0.2">
      <c r="A220" s="8" t="s">
        <v>2234</v>
      </c>
      <c r="B220" s="8">
        <v>21</v>
      </c>
      <c r="C220" s="8">
        <v>300</v>
      </c>
      <c r="D220" s="8">
        <v>700</v>
      </c>
      <c r="E220" s="2" t="s">
        <v>2235</v>
      </c>
      <c r="F220" s="10">
        <v>114.48</v>
      </c>
      <c r="G220" s="11">
        <f>(CV)*114.48</f>
        <v>114.48</v>
      </c>
    </row>
    <row r="221" spans="1:7" x14ac:dyDescent="0.2">
      <c r="A221" s="8" t="s">
        <v>2236</v>
      </c>
      <c r="B221" s="8">
        <v>21</v>
      </c>
      <c r="C221" s="8">
        <v>300</v>
      </c>
      <c r="D221" s="8">
        <v>800</v>
      </c>
      <c r="E221" s="2" t="s">
        <v>2237</v>
      </c>
      <c r="F221" s="10">
        <v>122.01</v>
      </c>
      <c r="G221" s="11">
        <f>(CV)*122.01</f>
        <v>122.01</v>
      </c>
    </row>
    <row r="222" spans="1:7" x14ac:dyDescent="0.2">
      <c r="A222" s="8" t="s">
        <v>2238</v>
      </c>
      <c r="B222" s="8">
        <v>21</v>
      </c>
      <c r="C222" s="8">
        <v>300</v>
      </c>
      <c r="D222" s="8">
        <v>900</v>
      </c>
      <c r="E222" s="2" t="s">
        <v>2239</v>
      </c>
      <c r="F222" s="10">
        <v>129.03</v>
      </c>
      <c r="G222" s="11">
        <f>(CV)*129.03</f>
        <v>129.03</v>
      </c>
    </row>
    <row r="223" spans="1:7" x14ac:dyDescent="0.2">
      <c r="A223" s="8" t="s">
        <v>2240</v>
      </c>
      <c r="B223" s="8">
        <v>21</v>
      </c>
      <c r="C223" s="8">
        <v>300</v>
      </c>
      <c r="D223" s="8">
        <v>1000</v>
      </c>
      <c r="E223" s="2" t="s">
        <v>2241</v>
      </c>
      <c r="F223" s="10">
        <v>135.9</v>
      </c>
      <c r="G223" s="11">
        <f>(CV)*135.9</f>
        <v>135.9</v>
      </c>
    </row>
    <row r="224" spans="1:7" x14ac:dyDescent="0.2">
      <c r="A224" s="8" t="s">
        <v>2242</v>
      </c>
      <c r="B224" s="8">
        <v>21</v>
      </c>
      <c r="C224" s="8">
        <v>300</v>
      </c>
      <c r="D224" s="8">
        <v>1100</v>
      </c>
      <c r="E224" s="2" t="s">
        <v>2243</v>
      </c>
      <c r="F224" s="10">
        <v>142.78</v>
      </c>
      <c r="G224" s="11">
        <f>(CV)*142.78</f>
        <v>142.78</v>
      </c>
    </row>
    <row r="225" spans="1:7" x14ac:dyDescent="0.2">
      <c r="A225" s="8" t="s">
        <v>2244</v>
      </c>
      <c r="B225" s="8">
        <v>21</v>
      </c>
      <c r="C225" s="8">
        <v>300</v>
      </c>
      <c r="D225" s="8">
        <v>1200</v>
      </c>
      <c r="E225" s="2" t="s">
        <v>2245</v>
      </c>
      <c r="F225" s="10">
        <v>149.55000000000001</v>
      </c>
      <c r="G225" s="11">
        <f>(CV)*149.55</f>
        <v>149.55000000000001</v>
      </c>
    </row>
    <row r="226" spans="1:7" x14ac:dyDescent="0.2">
      <c r="A226" s="8" t="s">
        <v>2246</v>
      </c>
      <c r="B226" s="8">
        <v>21</v>
      </c>
      <c r="C226" s="8">
        <v>300</v>
      </c>
      <c r="D226" s="8">
        <v>1400</v>
      </c>
      <c r="E226" s="2" t="s">
        <v>2247</v>
      </c>
      <c r="F226" s="10">
        <v>163.30000000000001</v>
      </c>
      <c r="G226" s="11">
        <f>(CV)*163.3</f>
        <v>163.30000000000001</v>
      </c>
    </row>
    <row r="227" spans="1:7" x14ac:dyDescent="0.2">
      <c r="A227" s="8" t="s">
        <v>2248</v>
      </c>
      <c r="B227" s="8">
        <v>21</v>
      </c>
      <c r="C227" s="8">
        <v>300</v>
      </c>
      <c r="D227" s="8">
        <v>1600</v>
      </c>
      <c r="E227" s="2" t="s">
        <v>2249</v>
      </c>
      <c r="F227" s="10">
        <v>177.36</v>
      </c>
      <c r="G227" s="11">
        <f>(CV)*177.36</f>
        <v>177.36</v>
      </c>
    </row>
    <row r="228" spans="1:7" x14ac:dyDescent="0.2">
      <c r="A228" s="8" t="s">
        <v>2250</v>
      </c>
      <c r="B228" s="8">
        <v>21</v>
      </c>
      <c r="C228" s="8">
        <v>300</v>
      </c>
      <c r="D228" s="8">
        <v>1800</v>
      </c>
      <c r="E228" s="2" t="s">
        <v>2251</v>
      </c>
      <c r="F228" s="10">
        <v>192.17</v>
      </c>
      <c r="G228" s="11">
        <f>(CV)*192.17</f>
        <v>192.17</v>
      </c>
    </row>
    <row r="229" spans="1:7" x14ac:dyDescent="0.2">
      <c r="A229" s="8" t="s">
        <v>2252</v>
      </c>
      <c r="B229" s="8">
        <v>21</v>
      </c>
      <c r="C229" s="8">
        <v>300</v>
      </c>
      <c r="D229" s="8">
        <v>2000</v>
      </c>
      <c r="E229" s="2" t="s">
        <v>2253</v>
      </c>
      <c r="F229" s="10">
        <v>205.33</v>
      </c>
      <c r="G229" s="11">
        <f>(CV)*205.33</f>
        <v>205.33</v>
      </c>
    </row>
    <row r="230" spans="1:7" x14ac:dyDescent="0.2">
      <c r="A230" s="8" t="s">
        <v>2254</v>
      </c>
      <c r="B230" s="8">
        <v>21</v>
      </c>
      <c r="C230" s="8">
        <v>300</v>
      </c>
      <c r="D230" s="8">
        <v>2300</v>
      </c>
      <c r="E230" s="2" t="s">
        <v>2255</v>
      </c>
      <c r="F230" s="10">
        <v>226.59</v>
      </c>
      <c r="G230" s="11">
        <f>(CV)*226.59</f>
        <v>226.59</v>
      </c>
    </row>
    <row r="231" spans="1:7" x14ac:dyDescent="0.2">
      <c r="A231" s="8" t="s">
        <v>2256</v>
      </c>
      <c r="B231" s="8">
        <v>21</v>
      </c>
      <c r="C231" s="8">
        <v>300</v>
      </c>
      <c r="D231" s="8">
        <v>2600</v>
      </c>
      <c r="E231" s="2" t="s">
        <v>2257</v>
      </c>
      <c r="F231" s="10">
        <v>251.04</v>
      </c>
      <c r="G231" s="11">
        <f>(CV)*251.04</f>
        <v>251.04</v>
      </c>
    </row>
    <row r="232" spans="1:7" x14ac:dyDescent="0.2">
      <c r="A232" s="8" t="s">
        <v>2258</v>
      </c>
      <c r="B232" s="8">
        <v>21</v>
      </c>
      <c r="C232" s="8">
        <v>300</v>
      </c>
      <c r="D232" s="8">
        <v>3000</v>
      </c>
      <c r="E232" s="2" t="s">
        <v>2259</v>
      </c>
      <c r="F232" s="10">
        <v>275.49</v>
      </c>
      <c r="G232" s="11">
        <f>(CV)*275.49</f>
        <v>275.49</v>
      </c>
    </row>
    <row r="233" spans="1:7" x14ac:dyDescent="0.2">
      <c r="A233" s="8" t="s">
        <v>2260</v>
      </c>
      <c r="B233" s="8">
        <v>21</v>
      </c>
      <c r="C233" s="8">
        <v>400</v>
      </c>
      <c r="D233" s="8">
        <v>400</v>
      </c>
      <c r="E233" s="2" t="s">
        <v>2261</v>
      </c>
      <c r="F233" s="10">
        <v>96.89</v>
      </c>
      <c r="G233" s="11">
        <f>(CV)*96.89</f>
        <v>96.89</v>
      </c>
    </row>
    <row r="234" spans="1:7" x14ac:dyDescent="0.2">
      <c r="A234" s="8" t="s">
        <v>2262</v>
      </c>
      <c r="B234" s="8">
        <v>21</v>
      </c>
      <c r="C234" s="8">
        <v>400</v>
      </c>
      <c r="D234" s="8">
        <v>500</v>
      </c>
      <c r="E234" s="2" t="s">
        <v>2263</v>
      </c>
      <c r="F234" s="10">
        <v>105.57</v>
      </c>
      <c r="G234" s="11">
        <f>(CV)*105.57</f>
        <v>105.57</v>
      </c>
    </row>
    <row r="235" spans="1:7" x14ac:dyDescent="0.2">
      <c r="A235" s="8" t="s">
        <v>2264</v>
      </c>
      <c r="B235" s="8">
        <v>21</v>
      </c>
      <c r="C235" s="8">
        <v>400</v>
      </c>
      <c r="D235" s="8">
        <v>600</v>
      </c>
      <c r="E235" s="2" t="s">
        <v>2265</v>
      </c>
      <c r="F235" s="10">
        <v>113.83</v>
      </c>
      <c r="G235" s="11">
        <f>(CV)*113.83</f>
        <v>113.83</v>
      </c>
    </row>
    <row r="236" spans="1:7" x14ac:dyDescent="0.2">
      <c r="A236" s="8" t="s">
        <v>2266</v>
      </c>
      <c r="B236" s="8">
        <v>21</v>
      </c>
      <c r="C236" s="8">
        <v>400</v>
      </c>
      <c r="D236" s="8">
        <v>700</v>
      </c>
      <c r="E236" s="2" t="s">
        <v>2267</v>
      </c>
      <c r="F236" s="10">
        <v>122.73</v>
      </c>
      <c r="G236" s="11">
        <f>(CV)*122.73</f>
        <v>122.73</v>
      </c>
    </row>
    <row r="237" spans="1:7" x14ac:dyDescent="0.2">
      <c r="A237" s="8" t="s">
        <v>2268</v>
      </c>
      <c r="B237" s="8">
        <v>21</v>
      </c>
      <c r="C237" s="8">
        <v>400</v>
      </c>
      <c r="D237" s="8">
        <v>800</v>
      </c>
      <c r="E237" s="2" t="s">
        <v>2269</v>
      </c>
      <c r="F237" s="10">
        <v>131.25</v>
      </c>
      <c r="G237" s="11">
        <f>(CV)*131.25</f>
        <v>131.25</v>
      </c>
    </row>
    <row r="238" spans="1:7" x14ac:dyDescent="0.2">
      <c r="A238" s="8" t="s">
        <v>2270</v>
      </c>
      <c r="B238" s="8">
        <v>21</v>
      </c>
      <c r="C238" s="8">
        <v>400</v>
      </c>
      <c r="D238" s="8">
        <v>900</v>
      </c>
      <c r="E238" s="2" t="s">
        <v>2271</v>
      </c>
      <c r="F238" s="10">
        <v>139.59</v>
      </c>
      <c r="G238" s="11">
        <f>(CV)*139.59</f>
        <v>139.59</v>
      </c>
    </row>
    <row r="239" spans="1:7" x14ac:dyDescent="0.2">
      <c r="A239" s="8" t="s">
        <v>2272</v>
      </c>
      <c r="B239" s="8">
        <v>21</v>
      </c>
      <c r="C239" s="8">
        <v>400</v>
      </c>
      <c r="D239" s="8">
        <v>1000</v>
      </c>
      <c r="E239" s="2" t="s">
        <v>2273</v>
      </c>
      <c r="F239" s="10">
        <v>147.85</v>
      </c>
      <c r="G239" s="11">
        <f>(CV)*147.85</f>
        <v>147.85</v>
      </c>
    </row>
    <row r="240" spans="1:7" x14ac:dyDescent="0.2">
      <c r="A240" s="8" t="s">
        <v>2274</v>
      </c>
      <c r="B240" s="8">
        <v>21</v>
      </c>
      <c r="C240" s="8">
        <v>400</v>
      </c>
      <c r="D240" s="8">
        <v>1100</v>
      </c>
      <c r="E240" s="2" t="s">
        <v>2275</v>
      </c>
      <c r="F240" s="10">
        <v>157</v>
      </c>
      <c r="G240" s="11">
        <f>(CV)*157</f>
        <v>157</v>
      </c>
    </row>
    <row r="241" spans="1:7" x14ac:dyDescent="0.2">
      <c r="A241" s="8" t="s">
        <v>2276</v>
      </c>
      <c r="B241" s="8">
        <v>21</v>
      </c>
      <c r="C241" s="8">
        <v>400</v>
      </c>
      <c r="D241" s="8">
        <v>1200</v>
      </c>
      <c r="E241" s="2" t="s">
        <v>2277</v>
      </c>
      <c r="F241" s="10">
        <v>165.27</v>
      </c>
      <c r="G241" s="11">
        <f>(CV)*165.27</f>
        <v>165.27</v>
      </c>
    </row>
    <row r="242" spans="1:7" x14ac:dyDescent="0.2">
      <c r="A242" s="8" t="s">
        <v>2278</v>
      </c>
      <c r="B242" s="8">
        <v>21</v>
      </c>
      <c r="C242" s="8">
        <v>400</v>
      </c>
      <c r="D242" s="8">
        <v>1400</v>
      </c>
      <c r="E242" s="2" t="s">
        <v>2279</v>
      </c>
      <c r="F242" s="10">
        <v>182.1</v>
      </c>
      <c r="G242" s="11">
        <f>(CV)*182.1</f>
        <v>182.1</v>
      </c>
    </row>
    <row r="243" spans="1:7" x14ac:dyDescent="0.2">
      <c r="A243" s="8" t="s">
        <v>2280</v>
      </c>
      <c r="B243" s="8">
        <v>21</v>
      </c>
      <c r="C243" s="8">
        <v>400</v>
      </c>
      <c r="D243" s="8">
        <v>1600</v>
      </c>
      <c r="E243" s="2" t="s">
        <v>2281</v>
      </c>
      <c r="F243" s="10">
        <v>199.04</v>
      </c>
      <c r="G243" s="11">
        <f>(CV)*199.04</f>
        <v>199.04</v>
      </c>
    </row>
    <row r="244" spans="1:7" x14ac:dyDescent="0.2">
      <c r="A244" s="8" t="s">
        <v>2282</v>
      </c>
      <c r="B244" s="8">
        <v>21</v>
      </c>
      <c r="C244" s="8">
        <v>400</v>
      </c>
      <c r="D244" s="8">
        <v>1800</v>
      </c>
      <c r="E244" s="2" t="s">
        <v>2283</v>
      </c>
      <c r="F244" s="10">
        <v>216.45</v>
      </c>
      <c r="G244" s="11">
        <f>(CV)*216.45</f>
        <v>216.45</v>
      </c>
    </row>
    <row r="245" spans="1:7" x14ac:dyDescent="0.2">
      <c r="A245" s="8" t="s">
        <v>2284</v>
      </c>
      <c r="B245" s="8">
        <v>21</v>
      </c>
      <c r="C245" s="8">
        <v>400</v>
      </c>
      <c r="D245" s="8">
        <v>2000</v>
      </c>
      <c r="E245" s="2" t="s">
        <v>2285</v>
      </c>
      <c r="F245" s="10">
        <v>233.06</v>
      </c>
      <c r="G245" s="11">
        <f>(CV)*233.06</f>
        <v>233.06</v>
      </c>
    </row>
    <row r="246" spans="1:7" x14ac:dyDescent="0.2">
      <c r="A246" s="8" t="s">
        <v>2286</v>
      </c>
      <c r="B246" s="8">
        <v>21</v>
      </c>
      <c r="C246" s="8">
        <v>400</v>
      </c>
      <c r="D246" s="8">
        <v>2300</v>
      </c>
      <c r="E246" s="2" t="s">
        <v>2287</v>
      </c>
      <c r="F246" s="10">
        <v>258.81</v>
      </c>
      <c r="G246" s="11">
        <f>(CV)*258.81</f>
        <v>258.81</v>
      </c>
    </row>
    <row r="247" spans="1:7" x14ac:dyDescent="0.2">
      <c r="A247" s="8" t="s">
        <v>2288</v>
      </c>
      <c r="B247" s="8">
        <v>21</v>
      </c>
      <c r="C247" s="8">
        <v>400</v>
      </c>
      <c r="D247" s="8">
        <v>2600</v>
      </c>
      <c r="E247" s="2" t="s">
        <v>2289</v>
      </c>
      <c r="F247" s="10">
        <v>284.39999999999998</v>
      </c>
      <c r="G247" s="11">
        <f>(CV)*284.4</f>
        <v>284.39999999999998</v>
      </c>
    </row>
    <row r="248" spans="1:7" x14ac:dyDescent="0.2">
      <c r="A248" s="8" t="s">
        <v>2290</v>
      </c>
      <c r="B248" s="8">
        <v>21</v>
      </c>
      <c r="C248" s="8">
        <v>400</v>
      </c>
      <c r="D248" s="8">
        <v>3000</v>
      </c>
      <c r="E248" s="2" t="s">
        <v>2291</v>
      </c>
      <c r="F248" s="10">
        <v>318.58</v>
      </c>
      <c r="G248" s="11">
        <f>(CV)*318.58</f>
        <v>318.58</v>
      </c>
    </row>
    <row r="249" spans="1:7" x14ac:dyDescent="0.2">
      <c r="A249" s="8" t="s">
        <v>2292</v>
      </c>
      <c r="B249" s="8">
        <v>21</v>
      </c>
      <c r="C249" s="8">
        <v>450</v>
      </c>
      <c r="D249" s="8">
        <v>400</v>
      </c>
      <c r="E249" s="2" t="s">
        <v>2293</v>
      </c>
      <c r="F249" s="10">
        <v>101.29</v>
      </c>
      <c r="G249" s="11">
        <f>(CV)*101.29</f>
        <v>101.29</v>
      </c>
    </row>
    <row r="250" spans="1:7" x14ac:dyDescent="0.2">
      <c r="A250" s="8" t="s">
        <v>2294</v>
      </c>
      <c r="B250" s="8">
        <v>21</v>
      </c>
      <c r="C250" s="8">
        <v>450</v>
      </c>
      <c r="D250" s="8">
        <v>500</v>
      </c>
      <c r="E250" s="2" t="s">
        <v>2295</v>
      </c>
      <c r="F250" s="10">
        <v>110.32</v>
      </c>
      <c r="G250" s="11">
        <f>(CV)*110.32</f>
        <v>110.32</v>
      </c>
    </row>
    <row r="251" spans="1:7" x14ac:dyDescent="0.2">
      <c r="A251" s="8" t="s">
        <v>2296</v>
      </c>
      <c r="B251" s="8">
        <v>21</v>
      </c>
      <c r="C251" s="8">
        <v>450</v>
      </c>
      <c r="D251" s="8">
        <v>600</v>
      </c>
      <c r="E251" s="2" t="s">
        <v>2297</v>
      </c>
      <c r="F251" s="10">
        <v>119.56</v>
      </c>
      <c r="G251" s="11">
        <f>(CV)*119.56</f>
        <v>119.56</v>
      </c>
    </row>
    <row r="252" spans="1:7" x14ac:dyDescent="0.2">
      <c r="A252" s="8" t="s">
        <v>2298</v>
      </c>
      <c r="B252" s="8">
        <v>21</v>
      </c>
      <c r="C252" s="8">
        <v>450</v>
      </c>
      <c r="D252" s="8">
        <v>700</v>
      </c>
      <c r="E252" s="2" t="s">
        <v>2299</v>
      </c>
      <c r="F252" s="10">
        <v>128.96</v>
      </c>
      <c r="G252" s="11">
        <f>(CV)*128.96</f>
        <v>128.96</v>
      </c>
    </row>
    <row r="253" spans="1:7" x14ac:dyDescent="0.2">
      <c r="A253" s="8" t="s">
        <v>2300</v>
      </c>
      <c r="B253" s="8">
        <v>21</v>
      </c>
      <c r="C253" s="8">
        <v>450</v>
      </c>
      <c r="D253" s="8">
        <v>800</v>
      </c>
      <c r="E253" s="2" t="s">
        <v>2301</v>
      </c>
      <c r="F253" s="10">
        <v>138.44</v>
      </c>
      <c r="G253" s="11">
        <f>(CV)*138.44</f>
        <v>138.44</v>
      </c>
    </row>
    <row r="254" spans="1:7" x14ac:dyDescent="0.2">
      <c r="A254" s="8" t="s">
        <v>2302</v>
      </c>
      <c r="B254" s="8">
        <v>21</v>
      </c>
      <c r="C254" s="8">
        <v>450</v>
      </c>
      <c r="D254" s="8">
        <v>900</v>
      </c>
      <c r="E254" s="2" t="s">
        <v>2303</v>
      </c>
      <c r="F254" s="10">
        <v>147.71</v>
      </c>
      <c r="G254" s="11">
        <f>(CV)*147.71</f>
        <v>147.71</v>
      </c>
    </row>
    <row r="255" spans="1:7" x14ac:dyDescent="0.2">
      <c r="A255" s="8" t="s">
        <v>2304</v>
      </c>
      <c r="B255" s="8">
        <v>21</v>
      </c>
      <c r="C255" s="8">
        <v>450</v>
      </c>
      <c r="D255" s="8">
        <v>1000</v>
      </c>
      <c r="E255" s="2" t="s">
        <v>2305</v>
      </c>
      <c r="F255" s="10">
        <v>156.78</v>
      </c>
      <c r="G255" s="11">
        <f>(CV)*156.78</f>
        <v>156.78</v>
      </c>
    </row>
    <row r="256" spans="1:7" x14ac:dyDescent="0.2">
      <c r="A256" s="8" t="s">
        <v>2306</v>
      </c>
      <c r="B256" s="8">
        <v>21</v>
      </c>
      <c r="C256" s="8">
        <v>450</v>
      </c>
      <c r="D256" s="8">
        <v>1100</v>
      </c>
      <c r="E256" s="2" t="s">
        <v>2307</v>
      </c>
      <c r="F256" s="10">
        <v>166.05</v>
      </c>
      <c r="G256" s="11">
        <f>(CV)*166.05</f>
        <v>166.05</v>
      </c>
    </row>
    <row r="257" spans="1:7" x14ac:dyDescent="0.2">
      <c r="A257" s="8" t="s">
        <v>2308</v>
      </c>
      <c r="B257" s="8">
        <v>21</v>
      </c>
      <c r="C257" s="8">
        <v>450</v>
      </c>
      <c r="D257" s="8">
        <v>1200</v>
      </c>
      <c r="E257" s="2" t="s">
        <v>2309</v>
      </c>
      <c r="F257" s="10">
        <v>175.53</v>
      </c>
      <c r="G257" s="11">
        <f>(CV)*175.53</f>
        <v>175.53</v>
      </c>
    </row>
    <row r="258" spans="1:7" x14ac:dyDescent="0.2">
      <c r="A258" s="8" t="s">
        <v>2310</v>
      </c>
      <c r="B258" s="8">
        <v>21</v>
      </c>
      <c r="C258" s="8">
        <v>450</v>
      </c>
      <c r="D258" s="8">
        <v>1400</v>
      </c>
      <c r="E258" s="2" t="s">
        <v>2311</v>
      </c>
      <c r="F258" s="10">
        <v>193.85</v>
      </c>
      <c r="G258" s="11">
        <f>(CV)*193.85</f>
        <v>193.85</v>
      </c>
    </row>
    <row r="259" spans="1:7" x14ac:dyDescent="0.2">
      <c r="A259" s="8" t="s">
        <v>2312</v>
      </c>
      <c r="B259" s="8">
        <v>21</v>
      </c>
      <c r="C259" s="8">
        <v>450</v>
      </c>
      <c r="D259" s="8">
        <v>1600</v>
      </c>
      <c r="E259" s="2" t="s">
        <v>2313</v>
      </c>
      <c r="F259" s="10">
        <v>212.6</v>
      </c>
      <c r="G259" s="11">
        <f>(CV)*212.6</f>
        <v>212.6</v>
      </c>
    </row>
    <row r="260" spans="1:7" x14ac:dyDescent="0.2">
      <c r="A260" s="8" t="s">
        <v>2314</v>
      </c>
      <c r="B260" s="8">
        <v>21</v>
      </c>
      <c r="C260" s="8">
        <v>450</v>
      </c>
      <c r="D260" s="8">
        <v>1800</v>
      </c>
      <c r="E260" s="2" t="s">
        <v>2315</v>
      </c>
      <c r="F260" s="10">
        <v>230.77</v>
      </c>
      <c r="G260" s="11">
        <f>(CV)*230.77</f>
        <v>230.77</v>
      </c>
    </row>
    <row r="261" spans="1:7" x14ac:dyDescent="0.2">
      <c r="A261" s="8" t="s">
        <v>2316</v>
      </c>
      <c r="B261" s="8">
        <v>21</v>
      </c>
      <c r="C261" s="8">
        <v>450</v>
      </c>
      <c r="D261" s="8">
        <v>2000</v>
      </c>
      <c r="E261" s="2" t="s">
        <v>2317</v>
      </c>
      <c r="F261" s="10">
        <v>249.43</v>
      </c>
      <c r="G261" s="11">
        <f>(CV)*249.43</f>
        <v>249.43</v>
      </c>
    </row>
    <row r="262" spans="1:7" x14ac:dyDescent="0.2">
      <c r="A262" s="8" t="s">
        <v>2318</v>
      </c>
      <c r="B262" s="8">
        <v>21</v>
      </c>
      <c r="C262" s="8">
        <v>450</v>
      </c>
      <c r="D262" s="8">
        <v>2300</v>
      </c>
      <c r="E262" s="2" t="s">
        <v>2319</v>
      </c>
      <c r="F262" s="10">
        <v>277.26</v>
      </c>
      <c r="G262" s="11">
        <f>(CV)*277.26</f>
        <v>277.26</v>
      </c>
    </row>
    <row r="263" spans="1:7" x14ac:dyDescent="0.2">
      <c r="A263" s="8" t="s">
        <v>2320</v>
      </c>
      <c r="B263" s="8">
        <v>21</v>
      </c>
      <c r="C263" s="8">
        <v>450</v>
      </c>
      <c r="D263" s="8">
        <v>2600</v>
      </c>
      <c r="E263" s="2" t="s">
        <v>2321</v>
      </c>
      <c r="F263" s="10">
        <v>304.91000000000003</v>
      </c>
      <c r="G263" s="11">
        <f>(CV)*304.91</f>
        <v>304.91000000000003</v>
      </c>
    </row>
    <row r="264" spans="1:7" x14ac:dyDescent="0.2">
      <c r="A264" s="8" t="s">
        <v>2322</v>
      </c>
      <c r="B264" s="8">
        <v>21</v>
      </c>
      <c r="C264" s="8">
        <v>450</v>
      </c>
      <c r="D264" s="8">
        <v>3000</v>
      </c>
      <c r="E264" s="2" t="s">
        <v>2323</v>
      </c>
      <c r="F264" s="10">
        <v>342.29</v>
      </c>
      <c r="G264" s="11">
        <f>(CV)*342.29</f>
        <v>342.29</v>
      </c>
    </row>
    <row r="265" spans="1:7" x14ac:dyDescent="0.2">
      <c r="A265" s="8" t="s">
        <v>2324</v>
      </c>
      <c r="B265" s="8">
        <v>21</v>
      </c>
      <c r="C265" s="8">
        <v>500</v>
      </c>
      <c r="D265" s="8">
        <v>400</v>
      </c>
      <c r="E265" s="2" t="s">
        <v>2325</v>
      </c>
      <c r="F265" s="10">
        <v>108.92</v>
      </c>
      <c r="G265" s="11">
        <f>(CV)*108.92</f>
        <v>108.92</v>
      </c>
    </row>
    <row r="266" spans="1:7" x14ac:dyDescent="0.2">
      <c r="A266" s="8" t="s">
        <v>2326</v>
      </c>
      <c r="B266" s="8">
        <v>21</v>
      </c>
      <c r="C266" s="8">
        <v>500</v>
      </c>
      <c r="D266" s="8">
        <v>500</v>
      </c>
      <c r="E266" s="2" t="s">
        <v>2327</v>
      </c>
      <c r="F266" s="10">
        <v>119.23</v>
      </c>
      <c r="G266" s="11">
        <f>(CV)*119.23</f>
        <v>119.23</v>
      </c>
    </row>
    <row r="267" spans="1:7" x14ac:dyDescent="0.2">
      <c r="A267" s="8" t="s">
        <v>2328</v>
      </c>
      <c r="B267" s="8">
        <v>21</v>
      </c>
      <c r="C267" s="8">
        <v>500</v>
      </c>
      <c r="D267" s="8">
        <v>600</v>
      </c>
      <c r="E267" s="2" t="s">
        <v>2329</v>
      </c>
      <c r="F267" s="10">
        <v>129.37</v>
      </c>
      <c r="G267" s="11">
        <f>(CV)*129.37</f>
        <v>129.37</v>
      </c>
    </row>
    <row r="268" spans="1:7" x14ac:dyDescent="0.2">
      <c r="A268" s="8" t="s">
        <v>2330</v>
      </c>
      <c r="B268" s="8">
        <v>21</v>
      </c>
      <c r="C268" s="8">
        <v>500</v>
      </c>
      <c r="D268" s="8">
        <v>700</v>
      </c>
      <c r="E268" s="2" t="s">
        <v>2331</v>
      </c>
      <c r="F268" s="10">
        <v>139.83000000000001</v>
      </c>
      <c r="G268" s="11">
        <f>(CV)*139.83</f>
        <v>139.83000000000001</v>
      </c>
    </row>
    <row r="269" spans="1:7" x14ac:dyDescent="0.2">
      <c r="A269" s="8" t="s">
        <v>2332</v>
      </c>
      <c r="B269" s="8">
        <v>21</v>
      </c>
      <c r="C269" s="8">
        <v>500</v>
      </c>
      <c r="D269" s="8">
        <v>800</v>
      </c>
      <c r="E269" s="2" t="s">
        <v>2333</v>
      </c>
      <c r="F269" s="10">
        <v>150.31</v>
      </c>
      <c r="G269" s="11">
        <f>(CV)*150.31</f>
        <v>150.31</v>
      </c>
    </row>
    <row r="270" spans="1:7" x14ac:dyDescent="0.2">
      <c r="A270" s="8" t="s">
        <v>2334</v>
      </c>
      <c r="B270" s="8">
        <v>21</v>
      </c>
      <c r="C270" s="8">
        <v>500</v>
      </c>
      <c r="D270" s="8">
        <v>900</v>
      </c>
      <c r="E270" s="2" t="s">
        <v>2335</v>
      </c>
      <c r="F270" s="10">
        <v>160.77000000000001</v>
      </c>
      <c r="G270" s="11">
        <f>(CV)*160.77</f>
        <v>160.77000000000001</v>
      </c>
    </row>
    <row r="271" spans="1:7" x14ac:dyDescent="0.2">
      <c r="A271" s="8" t="s">
        <v>2336</v>
      </c>
      <c r="B271" s="8">
        <v>21</v>
      </c>
      <c r="C271" s="8">
        <v>500</v>
      </c>
      <c r="D271" s="8">
        <v>1000</v>
      </c>
      <c r="E271" s="2" t="s">
        <v>2337</v>
      </c>
      <c r="F271" s="10">
        <v>171.07</v>
      </c>
      <c r="G271" s="11">
        <f>(CV)*171.07</f>
        <v>171.07</v>
      </c>
    </row>
    <row r="272" spans="1:7" x14ac:dyDescent="0.2">
      <c r="A272" s="8" t="s">
        <v>2338</v>
      </c>
      <c r="B272" s="8">
        <v>21</v>
      </c>
      <c r="C272" s="8">
        <v>500</v>
      </c>
      <c r="D272" s="8">
        <v>1100</v>
      </c>
      <c r="E272" s="2" t="s">
        <v>2339</v>
      </c>
      <c r="F272" s="10">
        <v>181.39</v>
      </c>
      <c r="G272" s="11">
        <f>(CV)*181.39</f>
        <v>181.39</v>
      </c>
    </row>
    <row r="273" spans="1:7" x14ac:dyDescent="0.2">
      <c r="A273" s="8" t="s">
        <v>2340</v>
      </c>
      <c r="B273" s="8">
        <v>21</v>
      </c>
      <c r="C273" s="8">
        <v>500</v>
      </c>
      <c r="D273" s="8">
        <v>1200</v>
      </c>
      <c r="E273" s="2" t="s">
        <v>2341</v>
      </c>
      <c r="F273" s="10">
        <v>191.76</v>
      </c>
      <c r="G273" s="11">
        <f>(CV)*191.76</f>
        <v>191.76</v>
      </c>
    </row>
    <row r="274" spans="1:7" x14ac:dyDescent="0.2">
      <c r="A274" s="8" t="s">
        <v>2342</v>
      </c>
      <c r="B274" s="8">
        <v>21</v>
      </c>
      <c r="C274" s="8">
        <v>500</v>
      </c>
      <c r="D274" s="8">
        <v>1400</v>
      </c>
      <c r="E274" s="2" t="s">
        <v>2343</v>
      </c>
      <c r="F274" s="10">
        <v>212.19</v>
      </c>
      <c r="G274" s="11">
        <f>(CV)*212.19</f>
        <v>212.19</v>
      </c>
    </row>
    <row r="275" spans="1:7" x14ac:dyDescent="0.2">
      <c r="A275" s="8" t="s">
        <v>2344</v>
      </c>
      <c r="B275" s="8">
        <v>21</v>
      </c>
      <c r="C275" s="8">
        <v>500</v>
      </c>
      <c r="D275" s="8">
        <v>1600</v>
      </c>
      <c r="E275" s="2" t="s">
        <v>2345</v>
      </c>
      <c r="F275" s="10">
        <v>233.47</v>
      </c>
      <c r="G275" s="11">
        <f>(CV)*233.47</f>
        <v>233.47</v>
      </c>
    </row>
    <row r="276" spans="1:7" x14ac:dyDescent="0.2">
      <c r="A276" s="8" t="s">
        <v>2346</v>
      </c>
      <c r="B276" s="8">
        <v>21</v>
      </c>
      <c r="C276" s="8">
        <v>500</v>
      </c>
      <c r="D276" s="8">
        <v>1800</v>
      </c>
      <c r="E276" s="2" t="s">
        <v>2347</v>
      </c>
      <c r="F276" s="10">
        <v>253.41</v>
      </c>
      <c r="G276" s="11">
        <f>(CV)*253.41</f>
        <v>253.41</v>
      </c>
    </row>
    <row r="277" spans="1:7" x14ac:dyDescent="0.2">
      <c r="A277" s="8" t="s">
        <v>2348</v>
      </c>
      <c r="B277" s="8">
        <v>21</v>
      </c>
      <c r="C277" s="8">
        <v>500</v>
      </c>
      <c r="D277" s="8">
        <v>2000</v>
      </c>
      <c r="E277" s="2" t="s">
        <v>2349</v>
      </c>
      <c r="F277" s="10">
        <v>274.58999999999997</v>
      </c>
      <c r="G277" s="11">
        <f>(CV)*274.59</f>
        <v>274.58999999999997</v>
      </c>
    </row>
    <row r="278" spans="1:7" x14ac:dyDescent="0.2">
      <c r="A278" s="8" t="s">
        <v>2350</v>
      </c>
      <c r="B278" s="8">
        <v>21</v>
      </c>
      <c r="C278" s="8">
        <v>500</v>
      </c>
      <c r="D278" s="8">
        <v>2300</v>
      </c>
      <c r="E278" s="2" t="s">
        <v>2351</v>
      </c>
      <c r="F278" s="10">
        <v>303.38</v>
      </c>
      <c r="G278" s="11">
        <f>(CV)*303.38</f>
        <v>303.38</v>
      </c>
    </row>
    <row r="279" spans="1:7" x14ac:dyDescent="0.2">
      <c r="A279" s="8" t="s">
        <v>2352</v>
      </c>
      <c r="B279" s="8">
        <v>21</v>
      </c>
      <c r="C279" s="8">
        <v>500</v>
      </c>
      <c r="D279" s="8">
        <v>2600</v>
      </c>
      <c r="E279" s="2" t="s">
        <v>2353</v>
      </c>
      <c r="F279" s="10">
        <v>336.49</v>
      </c>
      <c r="G279" s="11">
        <f>(CV)*336.49</f>
        <v>336.49</v>
      </c>
    </row>
    <row r="280" spans="1:7" x14ac:dyDescent="0.2">
      <c r="A280" s="8" t="s">
        <v>2354</v>
      </c>
      <c r="B280" s="8">
        <v>21</v>
      </c>
      <c r="C280" s="8">
        <v>500</v>
      </c>
      <c r="D280" s="8">
        <v>3000</v>
      </c>
      <c r="E280" s="2" t="s">
        <v>2355</v>
      </c>
      <c r="F280" s="10">
        <v>377.87</v>
      </c>
      <c r="G280" s="11">
        <f>(CV)*377.87</f>
        <v>377.87</v>
      </c>
    </row>
    <row r="281" spans="1:7" x14ac:dyDescent="0.2">
      <c r="A281" s="8" t="s">
        <v>2356</v>
      </c>
      <c r="B281" s="8">
        <v>21</v>
      </c>
      <c r="C281" s="8">
        <v>600</v>
      </c>
      <c r="D281" s="8">
        <v>400</v>
      </c>
      <c r="E281" s="2" t="s">
        <v>2357</v>
      </c>
      <c r="F281" s="10">
        <v>114.64</v>
      </c>
      <c r="G281" s="11">
        <f>(CV)*114.64</f>
        <v>114.64</v>
      </c>
    </row>
    <row r="282" spans="1:7" x14ac:dyDescent="0.2">
      <c r="A282" s="8" t="s">
        <v>2358</v>
      </c>
      <c r="B282" s="8">
        <v>21</v>
      </c>
      <c r="C282" s="8">
        <v>600</v>
      </c>
      <c r="D282" s="8">
        <v>500</v>
      </c>
      <c r="E282" s="2" t="s">
        <v>2359</v>
      </c>
      <c r="F282" s="10">
        <v>125.52</v>
      </c>
      <c r="G282" s="11">
        <f>(CV)*125.52</f>
        <v>125.52</v>
      </c>
    </row>
    <row r="283" spans="1:7" x14ac:dyDescent="0.2">
      <c r="A283" s="8" t="s">
        <v>2360</v>
      </c>
      <c r="B283" s="8">
        <v>21</v>
      </c>
      <c r="C283" s="8">
        <v>600</v>
      </c>
      <c r="D283" s="8">
        <v>600</v>
      </c>
      <c r="E283" s="2" t="s">
        <v>2361</v>
      </c>
      <c r="F283" s="10">
        <v>136.65</v>
      </c>
      <c r="G283" s="11">
        <f>(CV)*136.65</f>
        <v>136.65</v>
      </c>
    </row>
    <row r="284" spans="1:7" x14ac:dyDescent="0.2">
      <c r="A284" s="8" t="s">
        <v>2362</v>
      </c>
      <c r="B284" s="8">
        <v>21</v>
      </c>
      <c r="C284" s="8">
        <v>600</v>
      </c>
      <c r="D284" s="8">
        <v>700</v>
      </c>
      <c r="E284" s="2" t="s">
        <v>2363</v>
      </c>
      <c r="F284" s="10">
        <v>147.91999999999999</v>
      </c>
      <c r="G284" s="11">
        <f>(CV)*147.92</f>
        <v>147.91999999999999</v>
      </c>
    </row>
    <row r="285" spans="1:7" x14ac:dyDescent="0.2">
      <c r="A285" s="8" t="s">
        <v>2364</v>
      </c>
      <c r="B285" s="8">
        <v>21</v>
      </c>
      <c r="C285" s="8">
        <v>600</v>
      </c>
      <c r="D285" s="8">
        <v>800</v>
      </c>
      <c r="E285" s="2" t="s">
        <v>2365</v>
      </c>
      <c r="F285" s="10">
        <v>159.44999999999999</v>
      </c>
      <c r="G285" s="11">
        <f>(CV)*159.45</f>
        <v>159.44999999999999</v>
      </c>
    </row>
    <row r="286" spans="1:7" x14ac:dyDescent="0.2">
      <c r="A286" s="8" t="s">
        <v>2366</v>
      </c>
      <c r="B286" s="8">
        <v>21</v>
      </c>
      <c r="C286" s="8">
        <v>600</v>
      </c>
      <c r="D286" s="8">
        <v>900</v>
      </c>
      <c r="E286" s="2" t="s">
        <v>2367</v>
      </c>
      <c r="F286" s="10">
        <v>170.98</v>
      </c>
      <c r="G286" s="11">
        <f>(CV)*170.98</f>
        <v>170.98</v>
      </c>
    </row>
    <row r="287" spans="1:7" x14ac:dyDescent="0.2">
      <c r="A287" s="8" t="s">
        <v>2368</v>
      </c>
      <c r="B287" s="8">
        <v>21</v>
      </c>
      <c r="C287" s="8">
        <v>600</v>
      </c>
      <c r="D287" s="8">
        <v>1000</v>
      </c>
      <c r="E287" s="2" t="s">
        <v>2369</v>
      </c>
      <c r="F287" s="10">
        <v>182.52</v>
      </c>
      <c r="G287" s="11">
        <f>(CV)*182.52</f>
        <v>182.52</v>
      </c>
    </row>
    <row r="288" spans="1:7" x14ac:dyDescent="0.2">
      <c r="A288" s="8" t="s">
        <v>2370</v>
      </c>
      <c r="B288" s="8">
        <v>21</v>
      </c>
      <c r="C288" s="8">
        <v>600</v>
      </c>
      <c r="D288" s="8">
        <v>1100</v>
      </c>
      <c r="E288" s="2" t="s">
        <v>2371</v>
      </c>
      <c r="F288" s="10">
        <v>194.05</v>
      </c>
      <c r="G288" s="11">
        <f>(CV)*194.05</f>
        <v>194.05</v>
      </c>
    </row>
    <row r="289" spans="1:7" x14ac:dyDescent="0.2">
      <c r="A289" s="8" t="s">
        <v>2372</v>
      </c>
      <c r="B289" s="8">
        <v>21</v>
      </c>
      <c r="C289" s="8">
        <v>600</v>
      </c>
      <c r="D289" s="8">
        <v>1200</v>
      </c>
      <c r="E289" s="2" t="s">
        <v>2373</v>
      </c>
      <c r="F289" s="10">
        <v>205.25</v>
      </c>
      <c r="G289" s="11">
        <f>(CV)*205.25</f>
        <v>205.25</v>
      </c>
    </row>
    <row r="290" spans="1:7" x14ac:dyDescent="0.2">
      <c r="A290" s="8" t="s">
        <v>2374</v>
      </c>
      <c r="B290" s="8">
        <v>21</v>
      </c>
      <c r="C290" s="8">
        <v>600</v>
      </c>
      <c r="D290" s="8">
        <v>1400</v>
      </c>
      <c r="E290" s="2" t="s">
        <v>2375</v>
      </c>
      <c r="F290" s="10">
        <v>228.23</v>
      </c>
      <c r="G290" s="11">
        <f>(CV)*228.23</f>
        <v>228.23</v>
      </c>
    </row>
    <row r="291" spans="1:7" x14ac:dyDescent="0.2">
      <c r="A291" s="8" t="s">
        <v>2376</v>
      </c>
      <c r="B291" s="8">
        <v>21</v>
      </c>
      <c r="C291" s="8">
        <v>600</v>
      </c>
      <c r="D291" s="8">
        <v>1600</v>
      </c>
      <c r="E291" s="2" t="s">
        <v>2377</v>
      </c>
      <c r="F291" s="10">
        <v>251.2</v>
      </c>
      <c r="G291" s="11">
        <f>(CV)*251.2</f>
        <v>251.2</v>
      </c>
    </row>
    <row r="292" spans="1:7" x14ac:dyDescent="0.2">
      <c r="A292" s="8" t="s">
        <v>2378</v>
      </c>
      <c r="B292" s="8">
        <v>21</v>
      </c>
      <c r="C292" s="8">
        <v>600</v>
      </c>
      <c r="D292" s="8">
        <v>1800</v>
      </c>
      <c r="E292" s="2" t="s">
        <v>2379</v>
      </c>
      <c r="F292" s="10">
        <v>274.08999999999997</v>
      </c>
      <c r="G292" s="11">
        <f>(CV)*274.09</f>
        <v>274.08999999999997</v>
      </c>
    </row>
    <row r="293" spans="1:7" x14ac:dyDescent="0.2">
      <c r="A293" s="8" t="s">
        <v>2380</v>
      </c>
      <c r="B293" s="8">
        <v>21</v>
      </c>
      <c r="C293" s="8">
        <v>600</v>
      </c>
      <c r="D293" s="8">
        <v>2000</v>
      </c>
      <c r="E293" s="2" t="s">
        <v>2381</v>
      </c>
      <c r="F293" s="10">
        <v>296.92</v>
      </c>
      <c r="G293" s="11">
        <f>(CV)*296.92</f>
        <v>296.92</v>
      </c>
    </row>
    <row r="294" spans="1:7" x14ac:dyDescent="0.2">
      <c r="A294" s="8" t="s">
        <v>2382</v>
      </c>
      <c r="B294" s="8">
        <v>21</v>
      </c>
      <c r="C294" s="8">
        <v>600</v>
      </c>
      <c r="D294" s="8">
        <v>2300</v>
      </c>
      <c r="E294" s="2" t="s">
        <v>2383</v>
      </c>
      <c r="F294" s="10">
        <v>331.66</v>
      </c>
      <c r="G294" s="11">
        <f>(CV)*331.66</f>
        <v>331.66</v>
      </c>
    </row>
    <row r="295" spans="1:7" x14ac:dyDescent="0.2">
      <c r="A295" s="8" t="s">
        <v>2384</v>
      </c>
      <c r="B295" s="8">
        <v>21</v>
      </c>
      <c r="C295" s="8">
        <v>600</v>
      </c>
      <c r="D295" s="8">
        <v>2600</v>
      </c>
      <c r="E295" s="2" t="s">
        <v>2385</v>
      </c>
      <c r="F295" s="10">
        <v>365.67</v>
      </c>
      <c r="G295" s="11">
        <f>(CV)*365.67</f>
        <v>365.67</v>
      </c>
    </row>
    <row r="296" spans="1:7" x14ac:dyDescent="0.2">
      <c r="A296" s="8" t="s">
        <v>2386</v>
      </c>
      <c r="B296" s="8">
        <v>21</v>
      </c>
      <c r="C296" s="8">
        <v>600</v>
      </c>
      <c r="D296" s="8">
        <v>3000</v>
      </c>
      <c r="E296" s="2" t="s">
        <v>2387</v>
      </c>
      <c r="F296" s="10">
        <v>411.39</v>
      </c>
      <c r="G296" s="11">
        <f>(CV)*411.39</f>
        <v>411.39</v>
      </c>
    </row>
    <row r="297" spans="1:7" x14ac:dyDescent="0.2">
      <c r="A297" s="8" t="s">
        <v>2388</v>
      </c>
      <c r="B297" s="8">
        <v>21</v>
      </c>
      <c r="C297" s="8">
        <v>900</v>
      </c>
      <c r="D297" s="8">
        <v>400</v>
      </c>
      <c r="E297" s="2" t="s">
        <v>2389</v>
      </c>
      <c r="F297" s="10">
        <v>149.9</v>
      </c>
      <c r="G297" s="11">
        <f>(CV)*149.9</f>
        <v>149.9</v>
      </c>
    </row>
    <row r="298" spans="1:7" x14ac:dyDescent="0.2">
      <c r="A298" s="8" t="s">
        <v>2390</v>
      </c>
      <c r="B298" s="8">
        <v>21</v>
      </c>
      <c r="C298" s="8">
        <v>900</v>
      </c>
      <c r="D298" s="8">
        <v>500</v>
      </c>
      <c r="E298" s="2" t="s">
        <v>2391</v>
      </c>
      <c r="F298" s="10">
        <v>164.45</v>
      </c>
      <c r="G298" s="11">
        <f>(CV)*164.45</f>
        <v>164.45</v>
      </c>
    </row>
    <row r="299" spans="1:7" x14ac:dyDescent="0.2">
      <c r="A299" s="8" t="s">
        <v>2392</v>
      </c>
      <c r="B299" s="8">
        <v>21</v>
      </c>
      <c r="C299" s="8">
        <v>900</v>
      </c>
      <c r="D299" s="8">
        <v>600</v>
      </c>
      <c r="E299" s="2" t="s">
        <v>2393</v>
      </c>
      <c r="F299" s="10">
        <v>179.5</v>
      </c>
      <c r="G299" s="11">
        <f>(CV)*179.5</f>
        <v>179.5</v>
      </c>
    </row>
    <row r="300" spans="1:7" x14ac:dyDescent="0.2">
      <c r="A300" s="8" t="s">
        <v>2394</v>
      </c>
      <c r="B300" s="8">
        <v>21</v>
      </c>
      <c r="C300" s="8">
        <v>900</v>
      </c>
      <c r="D300" s="8">
        <v>700</v>
      </c>
      <c r="E300" s="2" t="s">
        <v>2395</v>
      </c>
      <c r="F300" s="10">
        <v>199.04</v>
      </c>
      <c r="G300" s="11">
        <f>(CV)*199.04</f>
        <v>199.04</v>
      </c>
    </row>
    <row r="301" spans="1:7" x14ac:dyDescent="0.2">
      <c r="A301" s="8" t="s">
        <v>2396</v>
      </c>
      <c r="B301" s="8">
        <v>21</v>
      </c>
      <c r="C301" s="8">
        <v>900</v>
      </c>
      <c r="D301" s="8">
        <v>800</v>
      </c>
      <c r="E301" s="2" t="s">
        <v>2397</v>
      </c>
      <c r="F301" s="10">
        <v>218.42</v>
      </c>
      <c r="G301" s="11">
        <f>(CV)*218.42</f>
        <v>218.42</v>
      </c>
    </row>
    <row r="302" spans="1:7" x14ac:dyDescent="0.2">
      <c r="A302" s="8" t="s">
        <v>2398</v>
      </c>
      <c r="B302" s="8">
        <v>21</v>
      </c>
      <c r="C302" s="8">
        <v>900</v>
      </c>
      <c r="D302" s="8">
        <v>900</v>
      </c>
      <c r="E302" s="2" t="s">
        <v>2399</v>
      </c>
      <c r="F302" s="10">
        <v>237.64</v>
      </c>
      <c r="G302" s="11">
        <f>(CV)*237.64</f>
        <v>237.64</v>
      </c>
    </row>
    <row r="303" spans="1:7" x14ac:dyDescent="0.2">
      <c r="A303" s="8" t="s">
        <v>2400</v>
      </c>
      <c r="B303" s="8">
        <v>21</v>
      </c>
      <c r="C303" s="8">
        <v>900</v>
      </c>
      <c r="D303" s="8">
        <v>1000</v>
      </c>
      <c r="E303" s="2" t="s">
        <v>2401</v>
      </c>
      <c r="F303" s="10">
        <v>256.86</v>
      </c>
      <c r="G303" s="11">
        <f>(CV)*256.86</f>
        <v>256.86</v>
      </c>
    </row>
    <row r="304" spans="1:7" x14ac:dyDescent="0.2">
      <c r="A304" s="8" t="s">
        <v>2402</v>
      </c>
      <c r="B304" s="8">
        <v>21</v>
      </c>
      <c r="C304" s="8">
        <v>900</v>
      </c>
      <c r="D304" s="8">
        <v>1100</v>
      </c>
      <c r="E304" s="2" t="s">
        <v>2403</v>
      </c>
      <c r="F304" s="10">
        <v>276.63</v>
      </c>
      <c r="G304" s="11">
        <f>(CV)*276.63</f>
        <v>276.63</v>
      </c>
    </row>
    <row r="305" spans="1:7" x14ac:dyDescent="0.2">
      <c r="A305" s="8" t="s">
        <v>2404</v>
      </c>
      <c r="B305" s="8">
        <v>21</v>
      </c>
      <c r="C305" s="8">
        <v>900</v>
      </c>
      <c r="D305" s="8">
        <v>1200</v>
      </c>
      <c r="E305" s="2" t="s">
        <v>2405</v>
      </c>
      <c r="F305" s="10">
        <v>295.44</v>
      </c>
      <c r="G305" s="11">
        <f>(CV)*295.44</f>
        <v>295.44</v>
      </c>
    </row>
    <row r="306" spans="1:7" x14ac:dyDescent="0.2">
      <c r="A306" s="8" t="s">
        <v>2406</v>
      </c>
      <c r="B306" s="8">
        <v>21</v>
      </c>
      <c r="C306" s="8">
        <v>900</v>
      </c>
      <c r="D306" s="8">
        <v>1400</v>
      </c>
      <c r="E306" s="2" t="s">
        <v>2407</v>
      </c>
      <c r="F306" s="10">
        <v>333.55</v>
      </c>
      <c r="G306" s="11">
        <f>(CV)*333.55</f>
        <v>333.55</v>
      </c>
    </row>
    <row r="307" spans="1:7" x14ac:dyDescent="0.2">
      <c r="A307" s="8" t="s">
        <v>2408</v>
      </c>
      <c r="B307" s="8">
        <v>21</v>
      </c>
      <c r="C307" s="8">
        <v>900</v>
      </c>
      <c r="D307" s="8">
        <v>1600</v>
      </c>
      <c r="E307" s="2" t="s">
        <v>2409</v>
      </c>
      <c r="F307" s="10">
        <v>372.06</v>
      </c>
      <c r="G307" s="11">
        <f>(CV)*372.06</f>
        <v>372.06</v>
      </c>
    </row>
    <row r="308" spans="1:7" x14ac:dyDescent="0.2">
      <c r="A308" s="8" t="s">
        <v>2410</v>
      </c>
      <c r="B308" s="8">
        <v>21</v>
      </c>
      <c r="C308" s="8">
        <v>900</v>
      </c>
      <c r="D308" s="8">
        <v>1800</v>
      </c>
      <c r="E308" s="2" t="s">
        <v>2411</v>
      </c>
      <c r="F308" s="10">
        <v>410.33</v>
      </c>
      <c r="G308" s="11">
        <f>(CV)*410.33</f>
        <v>410.33</v>
      </c>
    </row>
    <row r="309" spans="1:7" x14ac:dyDescent="0.2">
      <c r="A309" s="8" t="s">
        <v>2412</v>
      </c>
      <c r="B309" s="8">
        <v>21</v>
      </c>
      <c r="C309" s="8">
        <v>900</v>
      </c>
      <c r="D309" s="8">
        <v>2000</v>
      </c>
      <c r="E309" s="2" t="s">
        <v>2413</v>
      </c>
      <c r="F309" s="10">
        <v>449.75</v>
      </c>
      <c r="G309" s="11">
        <f>(CV)*449.75</f>
        <v>449.75</v>
      </c>
    </row>
    <row r="310" spans="1:7" x14ac:dyDescent="0.2">
      <c r="A310" s="8" t="s">
        <v>2414</v>
      </c>
      <c r="B310" s="8">
        <v>21</v>
      </c>
      <c r="C310" s="8">
        <v>900</v>
      </c>
      <c r="D310" s="8">
        <v>2300</v>
      </c>
      <c r="E310" s="2" t="s">
        <v>2415</v>
      </c>
      <c r="F310" s="10">
        <v>503.22</v>
      </c>
      <c r="G310" s="11">
        <f>(CV)*503.22</f>
        <v>503.22</v>
      </c>
    </row>
    <row r="311" spans="1:7" x14ac:dyDescent="0.2">
      <c r="A311" s="8" t="s">
        <v>2416</v>
      </c>
      <c r="B311" s="8">
        <v>21</v>
      </c>
      <c r="C311" s="8">
        <v>900</v>
      </c>
      <c r="D311" s="8">
        <v>2600</v>
      </c>
      <c r="E311" s="2" t="s">
        <v>2417</v>
      </c>
      <c r="F311" s="10">
        <v>555.89</v>
      </c>
      <c r="G311" s="11">
        <f>(CV)*555.89</f>
        <v>555.89</v>
      </c>
    </row>
    <row r="312" spans="1:7" x14ac:dyDescent="0.2">
      <c r="A312" s="8" t="s">
        <v>2418</v>
      </c>
      <c r="B312" s="8">
        <v>21</v>
      </c>
      <c r="C312" s="8">
        <v>900</v>
      </c>
      <c r="D312" s="8">
        <v>3000</v>
      </c>
      <c r="E312" s="2" t="s">
        <v>2419</v>
      </c>
      <c r="F312" s="10">
        <v>626.54</v>
      </c>
      <c r="G312" s="11">
        <f>(CV)*626.54</f>
        <v>626.54</v>
      </c>
    </row>
    <row r="313" spans="1:7" x14ac:dyDescent="0.2">
      <c r="A313" s="8" t="s">
        <v>2420</v>
      </c>
      <c r="B313" s="8">
        <v>22</v>
      </c>
      <c r="C313" s="8">
        <v>200</v>
      </c>
      <c r="D313" s="8">
        <v>600</v>
      </c>
      <c r="E313" s="2" t="s">
        <v>2421</v>
      </c>
      <c r="F313" s="10">
        <v>90.14</v>
      </c>
      <c r="G313" s="11">
        <f>(CV)*90.14</f>
        <v>90.14</v>
      </c>
    </row>
    <row r="314" spans="1:7" x14ac:dyDescent="0.2">
      <c r="A314" s="8" t="s">
        <v>2422</v>
      </c>
      <c r="B314" s="8">
        <v>22</v>
      </c>
      <c r="C314" s="8">
        <v>200</v>
      </c>
      <c r="D314" s="8">
        <v>700</v>
      </c>
      <c r="E314" s="2" t="s">
        <v>2423</v>
      </c>
      <c r="F314" s="10">
        <v>96.38</v>
      </c>
      <c r="G314" s="11">
        <f>(CV)*96.38</f>
        <v>96.38</v>
      </c>
    </row>
    <row r="315" spans="1:7" x14ac:dyDescent="0.2">
      <c r="A315" s="8" t="s">
        <v>2424</v>
      </c>
      <c r="B315" s="8">
        <v>22</v>
      </c>
      <c r="C315" s="8">
        <v>200</v>
      </c>
      <c r="D315" s="8">
        <v>800</v>
      </c>
      <c r="E315" s="2" t="s">
        <v>2425</v>
      </c>
      <c r="F315" s="10">
        <v>103.16</v>
      </c>
      <c r="G315" s="11">
        <f>(CV)*103.16</f>
        <v>103.16</v>
      </c>
    </row>
    <row r="316" spans="1:7" x14ac:dyDescent="0.2">
      <c r="A316" s="8" t="s">
        <v>2426</v>
      </c>
      <c r="B316" s="8">
        <v>22</v>
      </c>
      <c r="C316" s="8">
        <v>200</v>
      </c>
      <c r="D316" s="8">
        <v>900</v>
      </c>
      <c r="E316" s="2" t="s">
        <v>2427</v>
      </c>
      <c r="F316" s="10">
        <v>109.48</v>
      </c>
      <c r="G316" s="11">
        <f>(CV)*109.48</f>
        <v>109.48</v>
      </c>
    </row>
    <row r="317" spans="1:7" x14ac:dyDescent="0.2">
      <c r="A317" s="8" t="s">
        <v>2428</v>
      </c>
      <c r="B317" s="8">
        <v>22</v>
      </c>
      <c r="C317" s="8">
        <v>200</v>
      </c>
      <c r="D317" s="8">
        <v>1000</v>
      </c>
      <c r="E317" s="2" t="s">
        <v>2429</v>
      </c>
      <c r="F317" s="10">
        <v>116.01</v>
      </c>
      <c r="G317" s="11">
        <f>(CV)*116.01</f>
        <v>116.01</v>
      </c>
    </row>
    <row r="318" spans="1:7" x14ac:dyDescent="0.2">
      <c r="A318" s="8" t="s">
        <v>2430</v>
      </c>
      <c r="B318" s="8">
        <v>22</v>
      </c>
      <c r="C318" s="8">
        <v>200</v>
      </c>
      <c r="D318" s="8">
        <v>1100</v>
      </c>
      <c r="E318" s="2" t="s">
        <v>2431</v>
      </c>
      <c r="F318" s="10">
        <v>122.34</v>
      </c>
      <c r="G318" s="11">
        <f>(CV)*122.34</f>
        <v>122.34</v>
      </c>
    </row>
    <row r="319" spans="1:7" x14ac:dyDescent="0.2">
      <c r="A319" s="8" t="s">
        <v>2432</v>
      </c>
      <c r="B319" s="8">
        <v>22</v>
      </c>
      <c r="C319" s="8">
        <v>200</v>
      </c>
      <c r="D319" s="8">
        <v>1200</v>
      </c>
      <c r="E319" s="2" t="s">
        <v>2433</v>
      </c>
      <c r="F319" s="10">
        <v>128.36000000000001</v>
      </c>
      <c r="G319" s="11">
        <f>(CV)*128.36</f>
        <v>128.36000000000001</v>
      </c>
    </row>
    <row r="320" spans="1:7" x14ac:dyDescent="0.2">
      <c r="A320" s="8" t="s">
        <v>2434</v>
      </c>
      <c r="B320" s="8">
        <v>22</v>
      </c>
      <c r="C320" s="8">
        <v>200</v>
      </c>
      <c r="D320" s="8">
        <v>1400</v>
      </c>
      <c r="E320" s="2" t="s">
        <v>2435</v>
      </c>
      <c r="F320" s="10">
        <v>141.38999999999999</v>
      </c>
      <c r="G320" s="11">
        <f>(CV)*141.39</f>
        <v>141.38999999999999</v>
      </c>
    </row>
    <row r="321" spans="1:7" x14ac:dyDescent="0.2">
      <c r="A321" s="8" t="s">
        <v>2436</v>
      </c>
      <c r="B321" s="8">
        <v>22</v>
      </c>
      <c r="C321" s="8">
        <v>200</v>
      </c>
      <c r="D321" s="8">
        <v>1600</v>
      </c>
      <c r="E321" s="2" t="s">
        <v>2437</v>
      </c>
      <c r="F321" s="10">
        <v>154.18</v>
      </c>
      <c r="G321" s="11">
        <f>(CV)*154.18</f>
        <v>154.18</v>
      </c>
    </row>
    <row r="322" spans="1:7" x14ac:dyDescent="0.2">
      <c r="A322" s="8" t="s">
        <v>2438</v>
      </c>
      <c r="B322" s="8">
        <v>22</v>
      </c>
      <c r="C322" s="8">
        <v>200</v>
      </c>
      <c r="D322" s="8">
        <v>1800</v>
      </c>
      <c r="E322" s="2" t="s">
        <v>2439</v>
      </c>
      <c r="F322" s="10">
        <v>167.27</v>
      </c>
      <c r="G322" s="11">
        <f>(CV)*167.27</f>
        <v>167.27</v>
      </c>
    </row>
    <row r="323" spans="1:7" x14ac:dyDescent="0.2">
      <c r="A323" s="8" t="s">
        <v>2440</v>
      </c>
      <c r="B323" s="8">
        <v>22</v>
      </c>
      <c r="C323" s="8">
        <v>200</v>
      </c>
      <c r="D323" s="8">
        <v>2000</v>
      </c>
      <c r="E323" s="2" t="s">
        <v>2441</v>
      </c>
      <c r="F323" s="10">
        <v>179.99</v>
      </c>
      <c r="G323" s="11">
        <f>(CV)*179.99</f>
        <v>179.99</v>
      </c>
    </row>
    <row r="324" spans="1:7" x14ac:dyDescent="0.2">
      <c r="A324" s="8" t="s">
        <v>2442</v>
      </c>
      <c r="B324" s="8">
        <v>22</v>
      </c>
      <c r="C324" s="8">
        <v>200</v>
      </c>
      <c r="D324" s="8">
        <v>2300</v>
      </c>
      <c r="E324" s="2" t="s">
        <v>2443</v>
      </c>
      <c r="F324" s="10">
        <v>199.32</v>
      </c>
      <c r="G324" s="11">
        <f>(CV)*199.32</f>
        <v>199.32</v>
      </c>
    </row>
    <row r="325" spans="1:7" x14ac:dyDescent="0.2">
      <c r="A325" s="8" t="s">
        <v>2444</v>
      </c>
      <c r="B325" s="8">
        <v>22</v>
      </c>
      <c r="C325" s="8">
        <v>200</v>
      </c>
      <c r="D325" s="8">
        <v>2600</v>
      </c>
      <c r="E325" s="2" t="s">
        <v>2445</v>
      </c>
      <c r="F325" s="10">
        <v>218.51</v>
      </c>
      <c r="G325" s="11">
        <f>(CV)*218.51</f>
        <v>218.51</v>
      </c>
    </row>
    <row r="326" spans="1:7" x14ac:dyDescent="0.2">
      <c r="A326" s="8" t="s">
        <v>2446</v>
      </c>
      <c r="B326" s="8">
        <v>22</v>
      </c>
      <c r="C326" s="8">
        <v>200</v>
      </c>
      <c r="D326" s="8">
        <v>3000</v>
      </c>
      <c r="E326" s="2" t="s">
        <v>2447</v>
      </c>
      <c r="F326" s="10">
        <v>244.16</v>
      </c>
      <c r="G326" s="11">
        <f>(CV)*244.16</f>
        <v>244.16</v>
      </c>
    </row>
    <row r="327" spans="1:7" x14ac:dyDescent="0.2">
      <c r="A327" s="8" t="s">
        <v>2448</v>
      </c>
      <c r="B327" s="8">
        <v>22</v>
      </c>
      <c r="C327" s="8">
        <v>300</v>
      </c>
      <c r="D327" s="8">
        <v>400</v>
      </c>
      <c r="E327" s="2" t="s">
        <v>2449</v>
      </c>
      <c r="F327" s="10">
        <v>94.29</v>
      </c>
      <c r="G327" s="11">
        <f>(CV)*94.29</f>
        <v>94.29</v>
      </c>
    </row>
    <row r="328" spans="1:7" x14ac:dyDescent="0.2">
      <c r="A328" s="8" t="s">
        <v>2450</v>
      </c>
      <c r="B328" s="8">
        <v>22</v>
      </c>
      <c r="C328" s="8">
        <v>300</v>
      </c>
      <c r="D328" s="8">
        <v>500</v>
      </c>
      <c r="E328" s="2" t="s">
        <v>2451</v>
      </c>
      <c r="F328" s="10">
        <v>104.1</v>
      </c>
      <c r="G328" s="11">
        <f>(CV)*104.1</f>
        <v>104.1</v>
      </c>
    </row>
    <row r="329" spans="1:7" x14ac:dyDescent="0.2">
      <c r="A329" s="8" t="s">
        <v>2452</v>
      </c>
      <c r="B329" s="8">
        <v>22</v>
      </c>
      <c r="C329" s="8">
        <v>300</v>
      </c>
      <c r="D329" s="8">
        <v>600</v>
      </c>
      <c r="E329" s="2" t="s">
        <v>2453</v>
      </c>
      <c r="F329" s="10">
        <v>112.93</v>
      </c>
      <c r="G329" s="11">
        <f>(CV)*112.93</f>
        <v>112.93</v>
      </c>
    </row>
    <row r="330" spans="1:7" x14ac:dyDescent="0.2">
      <c r="A330" s="8" t="s">
        <v>2454</v>
      </c>
      <c r="B330" s="8">
        <v>22</v>
      </c>
      <c r="C330" s="8">
        <v>300</v>
      </c>
      <c r="D330" s="8">
        <v>700</v>
      </c>
      <c r="E330" s="2" t="s">
        <v>2455</v>
      </c>
      <c r="F330" s="10">
        <v>120.37</v>
      </c>
      <c r="G330" s="11">
        <f>(CV)*120.37</f>
        <v>120.37</v>
      </c>
    </row>
    <row r="331" spans="1:7" x14ac:dyDescent="0.2">
      <c r="A331" s="8" t="s">
        <v>2456</v>
      </c>
      <c r="B331" s="8">
        <v>22</v>
      </c>
      <c r="C331" s="8">
        <v>300</v>
      </c>
      <c r="D331" s="8">
        <v>800</v>
      </c>
      <c r="E331" s="2" t="s">
        <v>2457</v>
      </c>
      <c r="F331" s="10">
        <v>128.13999999999999</v>
      </c>
      <c r="G331" s="11">
        <f>(CV)*128.14</f>
        <v>128.13999999999999</v>
      </c>
    </row>
    <row r="332" spans="1:7" x14ac:dyDescent="0.2">
      <c r="A332" s="8" t="s">
        <v>2458</v>
      </c>
      <c r="B332" s="8">
        <v>22</v>
      </c>
      <c r="C332" s="8">
        <v>300</v>
      </c>
      <c r="D332" s="8">
        <v>900</v>
      </c>
      <c r="E332" s="2" t="s">
        <v>2459</v>
      </c>
      <c r="F332" s="10">
        <v>135.59</v>
      </c>
      <c r="G332" s="11">
        <f>(CV)*135.59</f>
        <v>135.59</v>
      </c>
    </row>
    <row r="333" spans="1:7" x14ac:dyDescent="0.2">
      <c r="A333" s="8" t="s">
        <v>2460</v>
      </c>
      <c r="B333" s="8">
        <v>22</v>
      </c>
      <c r="C333" s="8">
        <v>300</v>
      </c>
      <c r="D333" s="8">
        <v>1000</v>
      </c>
      <c r="E333" s="2" t="s">
        <v>2461</v>
      </c>
      <c r="F333" s="10">
        <v>143.18</v>
      </c>
      <c r="G333" s="11">
        <f>(CV)*143.18</f>
        <v>143.18</v>
      </c>
    </row>
    <row r="334" spans="1:7" x14ac:dyDescent="0.2">
      <c r="A334" s="8" t="s">
        <v>2462</v>
      </c>
      <c r="B334" s="8">
        <v>22</v>
      </c>
      <c r="C334" s="8">
        <v>300</v>
      </c>
      <c r="D334" s="8">
        <v>1100</v>
      </c>
      <c r="E334" s="2" t="s">
        <v>2463</v>
      </c>
      <c r="F334" s="10">
        <v>150.55000000000001</v>
      </c>
      <c r="G334" s="11">
        <f>(CV)*150.55</f>
        <v>150.55000000000001</v>
      </c>
    </row>
    <row r="335" spans="1:7" x14ac:dyDescent="0.2">
      <c r="A335" s="8" t="s">
        <v>2464</v>
      </c>
      <c r="B335" s="8">
        <v>22</v>
      </c>
      <c r="C335" s="8">
        <v>300</v>
      </c>
      <c r="D335" s="8">
        <v>1200</v>
      </c>
      <c r="E335" s="2" t="s">
        <v>2465</v>
      </c>
      <c r="F335" s="10">
        <v>157.74</v>
      </c>
      <c r="G335" s="11">
        <f>(CV)*157.74</f>
        <v>157.74</v>
      </c>
    </row>
    <row r="336" spans="1:7" x14ac:dyDescent="0.2">
      <c r="A336" s="8" t="s">
        <v>2466</v>
      </c>
      <c r="B336" s="8">
        <v>22</v>
      </c>
      <c r="C336" s="8">
        <v>300</v>
      </c>
      <c r="D336" s="8">
        <v>1400</v>
      </c>
      <c r="E336" s="2" t="s">
        <v>2467</v>
      </c>
      <c r="F336" s="10">
        <v>172.7</v>
      </c>
      <c r="G336" s="11">
        <f>(CV)*172.7</f>
        <v>172.7</v>
      </c>
    </row>
    <row r="337" spans="1:7" x14ac:dyDescent="0.2">
      <c r="A337" s="8" t="s">
        <v>2468</v>
      </c>
      <c r="B337" s="8">
        <v>22</v>
      </c>
      <c r="C337" s="8">
        <v>300</v>
      </c>
      <c r="D337" s="8">
        <v>1600</v>
      </c>
      <c r="E337" s="2" t="s">
        <v>2469</v>
      </c>
      <c r="F337" s="10">
        <v>187.67</v>
      </c>
      <c r="G337" s="11">
        <f>(CV)*187.67</f>
        <v>187.67</v>
      </c>
    </row>
    <row r="338" spans="1:7" x14ac:dyDescent="0.2">
      <c r="A338" s="8" t="s">
        <v>2470</v>
      </c>
      <c r="B338" s="8">
        <v>22</v>
      </c>
      <c r="C338" s="8">
        <v>300</v>
      </c>
      <c r="D338" s="8">
        <v>1800</v>
      </c>
      <c r="E338" s="2" t="s">
        <v>2471</v>
      </c>
      <c r="F338" s="10">
        <v>202.95</v>
      </c>
      <c r="G338" s="11">
        <f>(CV)*202.95</f>
        <v>202.95</v>
      </c>
    </row>
    <row r="339" spans="1:7" x14ac:dyDescent="0.2">
      <c r="A339" s="8" t="s">
        <v>2472</v>
      </c>
      <c r="B339" s="8">
        <v>22</v>
      </c>
      <c r="C339" s="8">
        <v>300</v>
      </c>
      <c r="D339" s="8">
        <v>2000</v>
      </c>
      <c r="E339" s="2" t="s">
        <v>2473</v>
      </c>
      <c r="F339" s="10">
        <v>217.84</v>
      </c>
      <c r="G339" s="11">
        <f>(CV)*217.84</f>
        <v>217.84</v>
      </c>
    </row>
    <row r="340" spans="1:7" x14ac:dyDescent="0.2">
      <c r="A340" s="8" t="s">
        <v>2474</v>
      </c>
      <c r="B340" s="8">
        <v>22</v>
      </c>
      <c r="C340" s="8">
        <v>300</v>
      </c>
      <c r="D340" s="8">
        <v>2300</v>
      </c>
      <c r="E340" s="2" t="s">
        <v>2475</v>
      </c>
      <c r="F340" s="10">
        <v>240.32</v>
      </c>
      <c r="G340" s="11">
        <f>(CV)*240.32</f>
        <v>240.32</v>
      </c>
    </row>
    <row r="341" spans="1:7" x14ac:dyDescent="0.2">
      <c r="A341" s="8" t="s">
        <v>2476</v>
      </c>
      <c r="B341" s="8">
        <v>22</v>
      </c>
      <c r="C341" s="8">
        <v>300</v>
      </c>
      <c r="D341" s="8">
        <v>2600</v>
      </c>
      <c r="E341" s="2" t="s">
        <v>2477</v>
      </c>
      <c r="F341" s="10">
        <v>262.74</v>
      </c>
      <c r="G341" s="11">
        <f>(CV)*262.74</f>
        <v>262.74</v>
      </c>
    </row>
    <row r="342" spans="1:7" x14ac:dyDescent="0.2">
      <c r="A342" s="8" t="s">
        <v>2478</v>
      </c>
      <c r="B342" s="8">
        <v>22</v>
      </c>
      <c r="C342" s="8">
        <v>300</v>
      </c>
      <c r="D342" s="8">
        <v>3000</v>
      </c>
      <c r="E342" s="2" t="s">
        <v>2479</v>
      </c>
      <c r="F342" s="10">
        <v>292.74</v>
      </c>
      <c r="G342" s="11">
        <f>(CV)*292.74</f>
        <v>292.74</v>
      </c>
    </row>
    <row r="343" spans="1:7" x14ac:dyDescent="0.2">
      <c r="A343" s="8" t="s">
        <v>2480</v>
      </c>
      <c r="B343" s="8">
        <v>22</v>
      </c>
      <c r="C343" s="8">
        <v>400</v>
      </c>
      <c r="D343" s="8">
        <v>400</v>
      </c>
      <c r="E343" s="2" t="s">
        <v>2481</v>
      </c>
      <c r="F343" s="10">
        <v>101.81</v>
      </c>
      <c r="G343" s="11">
        <f>(CV)*101.81</f>
        <v>101.81</v>
      </c>
    </row>
    <row r="344" spans="1:7" x14ac:dyDescent="0.2">
      <c r="A344" s="8" t="s">
        <v>2482</v>
      </c>
      <c r="B344" s="8">
        <v>22</v>
      </c>
      <c r="C344" s="8">
        <v>400</v>
      </c>
      <c r="D344" s="8">
        <v>500</v>
      </c>
      <c r="E344" s="2" t="s">
        <v>2483</v>
      </c>
      <c r="F344" s="10">
        <v>110.81</v>
      </c>
      <c r="G344" s="11">
        <f>(CV)*110.81</f>
        <v>110.81</v>
      </c>
    </row>
    <row r="345" spans="1:7" x14ac:dyDescent="0.2">
      <c r="A345" s="8" t="s">
        <v>2484</v>
      </c>
      <c r="B345" s="8">
        <v>22</v>
      </c>
      <c r="C345" s="8">
        <v>400</v>
      </c>
      <c r="D345" s="8">
        <v>600</v>
      </c>
      <c r="E345" s="2" t="s">
        <v>2485</v>
      </c>
      <c r="F345" s="10">
        <v>120.04</v>
      </c>
      <c r="G345" s="11">
        <f>(CV)*120.04</f>
        <v>120.04</v>
      </c>
    </row>
    <row r="346" spans="1:7" x14ac:dyDescent="0.2">
      <c r="A346" s="8" t="s">
        <v>2486</v>
      </c>
      <c r="B346" s="8">
        <v>22</v>
      </c>
      <c r="C346" s="8">
        <v>400</v>
      </c>
      <c r="D346" s="8">
        <v>700</v>
      </c>
      <c r="E346" s="2" t="s">
        <v>2487</v>
      </c>
      <c r="F346" s="10">
        <v>129.13</v>
      </c>
      <c r="G346" s="11">
        <f>(CV)*129.13</f>
        <v>129.13</v>
      </c>
    </row>
    <row r="347" spans="1:7" x14ac:dyDescent="0.2">
      <c r="A347" s="8" t="s">
        <v>2488</v>
      </c>
      <c r="B347" s="8">
        <v>22</v>
      </c>
      <c r="C347" s="8">
        <v>400</v>
      </c>
      <c r="D347" s="8">
        <v>800</v>
      </c>
      <c r="E347" s="2" t="s">
        <v>2489</v>
      </c>
      <c r="F347" s="10">
        <v>137.94999999999999</v>
      </c>
      <c r="G347" s="11">
        <f>(CV)*137.95</f>
        <v>137.94999999999999</v>
      </c>
    </row>
    <row r="348" spans="1:7" x14ac:dyDescent="0.2">
      <c r="A348" s="8" t="s">
        <v>2490</v>
      </c>
      <c r="B348" s="8">
        <v>22</v>
      </c>
      <c r="C348" s="8">
        <v>400</v>
      </c>
      <c r="D348" s="8">
        <v>900</v>
      </c>
      <c r="E348" s="2" t="s">
        <v>2491</v>
      </c>
      <c r="F348" s="10">
        <v>146.94999999999999</v>
      </c>
      <c r="G348" s="11">
        <f>(CV)*146.95</f>
        <v>146.94999999999999</v>
      </c>
    </row>
    <row r="349" spans="1:7" x14ac:dyDescent="0.2">
      <c r="A349" s="8" t="s">
        <v>2492</v>
      </c>
      <c r="B349" s="8">
        <v>22</v>
      </c>
      <c r="C349" s="8">
        <v>400</v>
      </c>
      <c r="D349" s="8">
        <v>1000</v>
      </c>
      <c r="E349" s="2" t="s">
        <v>2493</v>
      </c>
      <c r="F349" s="10">
        <v>155.86000000000001</v>
      </c>
      <c r="G349" s="11">
        <f>(CV)*155.86</f>
        <v>155.86000000000001</v>
      </c>
    </row>
    <row r="350" spans="1:7" x14ac:dyDescent="0.2">
      <c r="A350" s="8" t="s">
        <v>2494</v>
      </c>
      <c r="B350" s="8">
        <v>22</v>
      </c>
      <c r="C350" s="8">
        <v>400</v>
      </c>
      <c r="D350" s="8">
        <v>1100</v>
      </c>
      <c r="E350" s="2" t="s">
        <v>2495</v>
      </c>
      <c r="F350" s="10">
        <v>165.27</v>
      </c>
      <c r="G350" s="11">
        <f>(CV)*165.27</f>
        <v>165.27</v>
      </c>
    </row>
    <row r="351" spans="1:7" x14ac:dyDescent="0.2">
      <c r="A351" s="8" t="s">
        <v>2496</v>
      </c>
      <c r="B351" s="8">
        <v>22</v>
      </c>
      <c r="C351" s="8">
        <v>400</v>
      </c>
      <c r="D351" s="8">
        <v>1200</v>
      </c>
      <c r="E351" s="2" t="s">
        <v>2497</v>
      </c>
      <c r="F351" s="10">
        <v>174.34</v>
      </c>
      <c r="G351" s="11">
        <f>(CV)*174.34</f>
        <v>174.34</v>
      </c>
    </row>
    <row r="352" spans="1:7" x14ac:dyDescent="0.2">
      <c r="A352" s="8" t="s">
        <v>2498</v>
      </c>
      <c r="B352" s="8">
        <v>22</v>
      </c>
      <c r="C352" s="8">
        <v>400</v>
      </c>
      <c r="D352" s="8">
        <v>1400</v>
      </c>
      <c r="E352" s="2" t="s">
        <v>2499</v>
      </c>
      <c r="F352" s="10">
        <v>192.57</v>
      </c>
      <c r="G352" s="11">
        <f>(CV)*192.57</f>
        <v>192.57</v>
      </c>
    </row>
    <row r="353" spans="1:7" x14ac:dyDescent="0.2">
      <c r="A353" s="8" t="s">
        <v>2500</v>
      </c>
      <c r="B353" s="8">
        <v>22</v>
      </c>
      <c r="C353" s="8">
        <v>400</v>
      </c>
      <c r="D353" s="8">
        <v>1600</v>
      </c>
      <c r="E353" s="2" t="s">
        <v>2501</v>
      </c>
      <c r="F353" s="10">
        <v>210.64</v>
      </c>
      <c r="G353" s="11">
        <f>(CV)*210.64</f>
        <v>210.64</v>
      </c>
    </row>
    <row r="354" spans="1:7" x14ac:dyDescent="0.2">
      <c r="A354" s="8" t="s">
        <v>2502</v>
      </c>
      <c r="B354" s="8">
        <v>22</v>
      </c>
      <c r="C354" s="8">
        <v>400</v>
      </c>
      <c r="D354" s="8">
        <v>1800</v>
      </c>
      <c r="E354" s="2" t="s">
        <v>2503</v>
      </c>
      <c r="F354" s="10">
        <v>228.64</v>
      </c>
      <c r="G354" s="11">
        <f>(CV)*228.64</f>
        <v>228.64</v>
      </c>
    </row>
    <row r="355" spans="1:7" x14ac:dyDescent="0.2">
      <c r="A355" s="8" t="s">
        <v>2504</v>
      </c>
      <c r="B355" s="8">
        <v>22</v>
      </c>
      <c r="C355" s="8">
        <v>400</v>
      </c>
      <c r="D355" s="8">
        <v>2000</v>
      </c>
      <c r="E355" s="2" t="s">
        <v>2505</v>
      </c>
      <c r="F355" s="10">
        <v>247.36</v>
      </c>
      <c r="G355" s="11">
        <f>(CV)*247.36</f>
        <v>247.36</v>
      </c>
    </row>
    <row r="356" spans="1:7" x14ac:dyDescent="0.2">
      <c r="A356" s="8" t="s">
        <v>2506</v>
      </c>
      <c r="B356" s="8">
        <v>22</v>
      </c>
      <c r="C356" s="8">
        <v>400</v>
      </c>
      <c r="D356" s="8">
        <v>2300</v>
      </c>
      <c r="E356" s="2" t="s">
        <v>2507</v>
      </c>
      <c r="F356" s="10">
        <v>274.51</v>
      </c>
      <c r="G356" s="11">
        <f>(CV)*274.51</f>
        <v>274.51</v>
      </c>
    </row>
    <row r="357" spans="1:7" x14ac:dyDescent="0.2">
      <c r="A357" s="8" t="s">
        <v>2508</v>
      </c>
      <c r="B357" s="8">
        <v>22</v>
      </c>
      <c r="C357" s="8">
        <v>400</v>
      </c>
      <c r="D357" s="8">
        <v>2600</v>
      </c>
      <c r="E357" s="2" t="s">
        <v>2509</v>
      </c>
      <c r="F357" s="10">
        <v>301.99</v>
      </c>
      <c r="G357" s="11">
        <f>(CV)*301.99</f>
        <v>301.99</v>
      </c>
    </row>
    <row r="358" spans="1:7" x14ac:dyDescent="0.2">
      <c r="A358" s="8" t="s">
        <v>2510</v>
      </c>
      <c r="B358" s="8">
        <v>22</v>
      </c>
      <c r="C358" s="8">
        <v>400</v>
      </c>
      <c r="D358" s="8">
        <v>3000</v>
      </c>
      <c r="E358" s="2" t="s">
        <v>2511</v>
      </c>
      <c r="F358" s="10">
        <v>338.53</v>
      </c>
      <c r="G358" s="11">
        <f>(CV)*338.53</f>
        <v>338.53</v>
      </c>
    </row>
    <row r="359" spans="1:7" x14ac:dyDescent="0.2">
      <c r="A359" s="8" t="s">
        <v>2512</v>
      </c>
      <c r="B359" s="8">
        <v>22</v>
      </c>
      <c r="C359" s="8">
        <v>450</v>
      </c>
      <c r="D359" s="8">
        <v>400</v>
      </c>
      <c r="E359" s="2" t="s">
        <v>2513</v>
      </c>
      <c r="F359" s="10">
        <v>106.68</v>
      </c>
      <c r="G359" s="11">
        <f>(CV)*106.68</f>
        <v>106.68</v>
      </c>
    </row>
    <row r="360" spans="1:7" x14ac:dyDescent="0.2">
      <c r="A360" s="8" t="s">
        <v>2514</v>
      </c>
      <c r="B360" s="8">
        <v>22</v>
      </c>
      <c r="C360" s="8">
        <v>450</v>
      </c>
      <c r="D360" s="8">
        <v>500</v>
      </c>
      <c r="E360" s="2" t="s">
        <v>2515</v>
      </c>
      <c r="F360" s="10">
        <v>116.59</v>
      </c>
      <c r="G360" s="11">
        <f>(CV)*116.59</f>
        <v>116.59</v>
      </c>
    </row>
    <row r="361" spans="1:7" x14ac:dyDescent="0.2">
      <c r="A361" s="8" t="s">
        <v>2516</v>
      </c>
      <c r="B361" s="8">
        <v>22</v>
      </c>
      <c r="C361" s="8">
        <v>450</v>
      </c>
      <c r="D361" s="8">
        <v>600</v>
      </c>
      <c r="E361" s="2" t="s">
        <v>2517</v>
      </c>
      <c r="F361" s="10">
        <v>126.53</v>
      </c>
      <c r="G361" s="11">
        <f>(CV)*126.53</f>
        <v>126.53</v>
      </c>
    </row>
    <row r="362" spans="1:7" x14ac:dyDescent="0.2">
      <c r="A362" s="8" t="s">
        <v>2518</v>
      </c>
      <c r="B362" s="8">
        <v>22</v>
      </c>
      <c r="C362" s="8">
        <v>450</v>
      </c>
      <c r="D362" s="8">
        <v>700</v>
      </c>
      <c r="E362" s="2" t="s">
        <v>2519</v>
      </c>
      <c r="F362" s="10">
        <v>136.4</v>
      </c>
      <c r="G362" s="11">
        <f>(CV)*136.4</f>
        <v>136.4</v>
      </c>
    </row>
    <row r="363" spans="1:7" x14ac:dyDescent="0.2">
      <c r="A363" s="8" t="s">
        <v>2520</v>
      </c>
      <c r="B363" s="8">
        <v>22</v>
      </c>
      <c r="C363" s="8">
        <v>450</v>
      </c>
      <c r="D363" s="8">
        <v>800</v>
      </c>
      <c r="E363" s="2" t="s">
        <v>2521</v>
      </c>
      <c r="F363" s="10">
        <v>146.22999999999999</v>
      </c>
      <c r="G363" s="11">
        <f>(CV)*146.23</f>
        <v>146.22999999999999</v>
      </c>
    </row>
    <row r="364" spans="1:7" x14ac:dyDescent="0.2">
      <c r="A364" s="8" t="s">
        <v>2522</v>
      </c>
      <c r="B364" s="8">
        <v>22</v>
      </c>
      <c r="C364" s="8">
        <v>450</v>
      </c>
      <c r="D364" s="8">
        <v>900</v>
      </c>
      <c r="E364" s="2" t="s">
        <v>2523</v>
      </c>
      <c r="F364" s="10">
        <v>156.13999999999999</v>
      </c>
      <c r="G364" s="11">
        <f>(CV)*156.14</f>
        <v>156.13999999999999</v>
      </c>
    </row>
    <row r="365" spans="1:7" x14ac:dyDescent="0.2">
      <c r="A365" s="8" t="s">
        <v>2524</v>
      </c>
      <c r="B365" s="8">
        <v>22</v>
      </c>
      <c r="C365" s="8">
        <v>450</v>
      </c>
      <c r="D365" s="8">
        <v>1000</v>
      </c>
      <c r="E365" s="2" t="s">
        <v>2525</v>
      </c>
      <c r="F365" s="10">
        <v>165.89</v>
      </c>
      <c r="G365" s="11">
        <f>(CV)*165.89</f>
        <v>165.89</v>
      </c>
    </row>
    <row r="366" spans="1:7" x14ac:dyDescent="0.2">
      <c r="A366" s="8" t="s">
        <v>2526</v>
      </c>
      <c r="B366" s="8">
        <v>22</v>
      </c>
      <c r="C366" s="8">
        <v>450</v>
      </c>
      <c r="D366" s="8">
        <v>1100</v>
      </c>
      <c r="E366" s="2" t="s">
        <v>2527</v>
      </c>
      <c r="F366" s="10">
        <v>175.92</v>
      </c>
      <c r="G366" s="11">
        <f>(CV)*175.92</f>
        <v>175.92</v>
      </c>
    </row>
    <row r="367" spans="1:7" x14ac:dyDescent="0.2">
      <c r="A367" s="8" t="s">
        <v>2528</v>
      </c>
      <c r="B367" s="8">
        <v>22</v>
      </c>
      <c r="C367" s="8">
        <v>450</v>
      </c>
      <c r="D367" s="8">
        <v>1200</v>
      </c>
      <c r="E367" s="2" t="s">
        <v>2529</v>
      </c>
      <c r="F367" s="10">
        <v>185.69</v>
      </c>
      <c r="G367" s="11">
        <f>(CV)*185.69</f>
        <v>185.69</v>
      </c>
    </row>
    <row r="368" spans="1:7" x14ac:dyDescent="0.2">
      <c r="A368" s="8" t="s">
        <v>2530</v>
      </c>
      <c r="B368" s="8">
        <v>22</v>
      </c>
      <c r="C368" s="8">
        <v>450</v>
      </c>
      <c r="D368" s="8">
        <v>1400</v>
      </c>
      <c r="E368" s="2" t="s">
        <v>2531</v>
      </c>
      <c r="F368" s="10">
        <v>205.68</v>
      </c>
      <c r="G368" s="11">
        <f>(CV)*205.68</f>
        <v>205.68</v>
      </c>
    </row>
    <row r="369" spans="1:7" x14ac:dyDescent="0.2">
      <c r="A369" s="8" t="s">
        <v>2532</v>
      </c>
      <c r="B369" s="8">
        <v>22</v>
      </c>
      <c r="C369" s="8">
        <v>450</v>
      </c>
      <c r="D369" s="8">
        <v>1600</v>
      </c>
      <c r="E369" s="2" t="s">
        <v>2533</v>
      </c>
      <c r="F369" s="10">
        <v>225.37</v>
      </c>
      <c r="G369" s="11">
        <f>(CV)*225.37</f>
        <v>225.37</v>
      </c>
    </row>
    <row r="370" spans="1:7" x14ac:dyDescent="0.2">
      <c r="A370" s="8" t="s">
        <v>2534</v>
      </c>
      <c r="B370" s="8">
        <v>22</v>
      </c>
      <c r="C370" s="8">
        <v>450</v>
      </c>
      <c r="D370" s="8">
        <v>1800</v>
      </c>
      <c r="E370" s="2" t="s">
        <v>2535</v>
      </c>
      <c r="F370" s="10">
        <v>245.33</v>
      </c>
      <c r="G370" s="11">
        <f>(CV)*245.33</f>
        <v>245.33</v>
      </c>
    </row>
    <row r="371" spans="1:7" x14ac:dyDescent="0.2">
      <c r="A371" s="8" t="s">
        <v>2536</v>
      </c>
      <c r="B371" s="8">
        <v>22</v>
      </c>
      <c r="C371" s="8">
        <v>450</v>
      </c>
      <c r="D371" s="8">
        <v>2000</v>
      </c>
      <c r="E371" s="2" t="s">
        <v>2537</v>
      </c>
      <c r="F371" s="10">
        <v>265.35000000000002</v>
      </c>
      <c r="G371" s="11">
        <f>(CV)*265.35</f>
        <v>265.35000000000002</v>
      </c>
    </row>
    <row r="372" spans="1:7" x14ac:dyDescent="0.2">
      <c r="A372" s="8" t="s">
        <v>2538</v>
      </c>
      <c r="B372" s="8">
        <v>22</v>
      </c>
      <c r="C372" s="8">
        <v>450</v>
      </c>
      <c r="D372" s="8">
        <v>2300</v>
      </c>
      <c r="E372" s="2" t="s">
        <v>2539</v>
      </c>
      <c r="F372" s="10">
        <v>295.11</v>
      </c>
      <c r="G372" s="11">
        <f>(CV)*295.11</f>
        <v>295.11</v>
      </c>
    </row>
    <row r="373" spans="1:7" x14ac:dyDescent="0.2">
      <c r="A373" s="8" t="s">
        <v>2540</v>
      </c>
      <c r="B373" s="8">
        <v>22</v>
      </c>
      <c r="C373" s="8">
        <v>450</v>
      </c>
      <c r="D373" s="8">
        <v>2600</v>
      </c>
      <c r="E373" s="2" t="s">
        <v>2541</v>
      </c>
      <c r="F373" s="10">
        <v>324.92</v>
      </c>
      <c r="G373" s="11">
        <f>(CV)*324.92</f>
        <v>324.92</v>
      </c>
    </row>
    <row r="374" spans="1:7" x14ac:dyDescent="0.2">
      <c r="A374" s="8" t="s">
        <v>2542</v>
      </c>
      <c r="B374" s="8">
        <v>22</v>
      </c>
      <c r="C374" s="8">
        <v>450</v>
      </c>
      <c r="D374" s="8">
        <v>3000</v>
      </c>
      <c r="E374" s="2" t="s">
        <v>2543</v>
      </c>
      <c r="F374" s="10">
        <v>364.72</v>
      </c>
      <c r="G374" s="11">
        <f>(CV)*364.72</f>
        <v>364.72</v>
      </c>
    </row>
    <row r="375" spans="1:7" x14ac:dyDescent="0.2">
      <c r="A375" s="8" t="s">
        <v>2544</v>
      </c>
      <c r="B375" s="8">
        <v>22</v>
      </c>
      <c r="C375" s="8">
        <v>500</v>
      </c>
      <c r="D375" s="8">
        <v>400</v>
      </c>
      <c r="E375" s="2" t="s">
        <v>2545</v>
      </c>
      <c r="F375" s="10">
        <v>114.4</v>
      </c>
      <c r="G375" s="11">
        <f>(CV)*114.4</f>
        <v>114.4</v>
      </c>
    </row>
    <row r="376" spans="1:7" x14ac:dyDescent="0.2">
      <c r="A376" s="8" t="s">
        <v>2546</v>
      </c>
      <c r="B376" s="8">
        <v>22</v>
      </c>
      <c r="C376" s="8">
        <v>500</v>
      </c>
      <c r="D376" s="8">
        <v>500</v>
      </c>
      <c r="E376" s="2" t="s">
        <v>2547</v>
      </c>
      <c r="F376" s="10">
        <v>125.37</v>
      </c>
      <c r="G376" s="11">
        <f>(CV)*125.37</f>
        <v>125.37</v>
      </c>
    </row>
    <row r="377" spans="1:7" x14ac:dyDescent="0.2">
      <c r="A377" s="8" t="s">
        <v>2548</v>
      </c>
      <c r="B377" s="8">
        <v>22</v>
      </c>
      <c r="C377" s="8">
        <v>500</v>
      </c>
      <c r="D377" s="8">
        <v>600</v>
      </c>
      <c r="E377" s="2" t="s">
        <v>2549</v>
      </c>
      <c r="F377" s="10">
        <v>136.24</v>
      </c>
      <c r="G377" s="11">
        <f>(CV)*136.24</f>
        <v>136.24</v>
      </c>
    </row>
    <row r="378" spans="1:7" x14ac:dyDescent="0.2">
      <c r="A378" s="8" t="s">
        <v>2550</v>
      </c>
      <c r="B378" s="8">
        <v>22</v>
      </c>
      <c r="C378" s="8">
        <v>500</v>
      </c>
      <c r="D378" s="8">
        <v>700</v>
      </c>
      <c r="E378" s="2" t="s">
        <v>2551</v>
      </c>
      <c r="F378" s="10">
        <v>147.26</v>
      </c>
      <c r="G378" s="11">
        <f>(CV)*147.26</f>
        <v>147.26</v>
      </c>
    </row>
    <row r="379" spans="1:7" x14ac:dyDescent="0.2">
      <c r="A379" s="8" t="s">
        <v>2552</v>
      </c>
      <c r="B379" s="8">
        <v>22</v>
      </c>
      <c r="C379" s="8">
        <v>500</v>
      </c>
      <c r="D379" s="8">
        <v>800</v>
      </c>
      <c r="E379" s="2" t="s">
        <v>2553</v>
      </c>
      <c r="F379" s="10">
        <v>158.63</v>
      </c>
      <c r="G379" s="11">
        <f>(CV)*158.63</f>
        <v>158.63</v>
      </c>
    </row>
    <row r="380" spans="1:7" x14ac:dyDescent="0.2">
      <c r="A380" s="8" t="s">
        <v>2554</v>
      </c>
      <c r="B380" s="8">
        <v>22</v>
      </c>
      <c r="C380" s="8">
        <v>500</v>
      </c>
      <c r="D380" s="8">
        <v>900</v>
      </c>
      <c r="E380" s="2" t="s">
        <v>2555</v>
      </c>
      <c r="F380" s="10">
        <v>169.6</v>
      </c>
      <c r="G380" s="11">
        <f>(CV)*169.6</f>
        <v>169.6</v>
      </c>
    </row>
    <row r="381" spans="1:7" x14ac:dyDescent="0.2">
      <c r="A381" s="8" t="s">
        <v>2556</v>
      </c>
      <c r="B381" s="8">
        <v>22</v>
      </c>
      <c r="C381" s="8">
        <v>500</v>
      </c>
      <c r="D381" s="8">
        <v>1000</v>
      </c>
      <c r="E381" s="2" t="s">
        <v>2557</v>
      </c>
      <c r="F381" s="10">
        <v>180.56</v>
      </c>
      <c r="G381" s="11">
        <f>(CV)*180.56</f>
        <v>180.56</v>
      </c>
    </row>
    <row r="382" spans="1:7" x14ac:dyDescent="0.2">
      <c r="A382" s="8" t="s">
        <v>2558</v>
      </c>
      <c r="B382" s="8">
        <v>22</v>
      </c>
      <c r="C382" s="8">
        <v>500</v>
      </c>
      <c r="D382" s="8">
        <v>1100</v>
      </c>
      <c r="E382" s="2" t="s">
        <v>2559</v>
      </c>
      <c r="F382" s="10">
        <v>191.52</v>
      </c>
      <c r="G382" s="11">
        <f>(CV)*191.52</f>
        <v>191.52</v>
      </c>
    </row>
    <row r="383" spans="1:7" x14ac:dyDescent="0.2">
      <c r="A383" s="8" t="s">
        <v>2560</v>
      </c>
      <c r="B383" s="8">
        <v>22</v>
      </c>
      <c r="C383" s="8">
        <v>500</v>
      </c>
      <c r="D383" s="8">
        <v>1200</v>
      </c>
      <c r="E383" s="2" t="s">
        <v>2561</v>
      </c>
      <c r="F383" s="10">
        <v>202.56</v>
      </c>
      <c r="G383" s="11">
        <f>(CV)*202.56</f>
        <v>202.56</v>
      </c>
    </row>
    <row r="384" spans="1:7" x14ac:dyDescent="0.2">
      <c r="A384" s="8" t="s">
        <v>2562</v>
      </c>
      <c r="B384" s="8">
        <v>22</v>
      </c>
      <c r="C384" s="8">
        <v>500</v>
      </c>
      <c r="D384" s="8">
        <v>1400</v>
      </c>
      <c r="E384" s="2" t="s">
        <v>2563</v>
      </c>
      <c r="F384" s="10">
        <v>224.88</v>
      </c>
      <c r="G384" s="11">
        <f>(CV)*224.88</f>
        <v>224.88</v>
      </c>
    </row>
    <row r="385" spans="1:7" x14ac:dyDescent="0.2">
      <c r="A385" s="8" t="s">
        <v>2564</v>
      </c>
      <c r="B385" s="8">
        <v>22</v>
      </c>
      <c r="C385" s="8">
        <v>500</v>
      </c>
      <c r="D385" s="8">
        <v>1600</v>
      </c>
      <c r="E385" s="2" t="s">
        <v>2565</v>
      </c>
      <c r="F385" s="10">
        <v>247.03</v>
      </c>
      <c r="G385" s="11">
        <f>(CV)*247.03</f>
        <v>247.03</v>
      </c>
    </row>
    <row r="386" spans="1:7" x14ac:dyDescent="0.2">
      <c r="A386" s="8" t="s">
        <v>2566</v>
      </c>
      <c r="B386" s="8">
        <v>22</v>
      </c>
      <c r="C386" s="8">
        <v>500</v>
      </c>
      <c r="D386" s="8">
        <v>1800</v>
      </c>
      <c r="E386" s="2" t="s">
        <v>2567</v>
      </c>
      <c r="F386" s="10">
        <v>269.36</v>
      </c>
      <c r="G386" s="11">
        <f>(CV)*269.36</f>
        <v>269.36</v>
      </c>
    </row>
    <row r="387" spans="1:7" x14ac:dyDescent="0.2">
      <c r="A387" s="8" t="s">
        <v>2568</v>
      </c>
      <c r="B387" s="8">
        <v>22</v>
      </c>
      <c r="C387" s="8">
        <v>500</v>
      </c>
      <c r="D387" s="8">
        <v>2000</v>
      </c>
      <c r="E387" s="2" t="s">
        <v>2569</v>
      </c>
      <c r="F387" s="10">
        <v>291.52999999999997</v>
      </c>
      <c r="G387" s="11">
        <f>(CV)*291.53</f>
        <v>291.52999999999997</v>
      </c>
    </row>
    <row r="388" spans="1:7" x14ac:dyDescent="0.2">
      <c r="A388" s="8" t="s">
        <v>2570</v>
      </c>
      <c r="B388" s="8">
        <v>22</v>
      </c>
      <c r="C388" s="8">
        <v>500</v>
      </c>
      <c r="D388" s="8">
        <v>2300</v>
      </c>
      <c r="E388" s="2" t="s">
        <v>2571</v>
      </c>
      <c r="F388" s="10">
        <v>325.05</v>
      </c>
      <c r="G388" s="11">
        <f>(CV)*325.05</f>
        <v>325.05</v>
      </c>
    </row>
    <row r="389" spans="1:7" x14ac:dyDescent="0.2">
      <c r="A389" s="8" t="s">
        <v>2572</v>
      </c>
      <c r="B389" s="8">
        <v>22</v>
      </c>
      <c r="C389" s="8">
        <v>500</v>
      </c>
      <c r="D389" s="8">
        <v>2600</v>
      </c>
      <c r="E389" s="2" t="s">
        <v>2573</v>
      </c>
      <c r="F389" s="10">
        <v>358.4</v>
      </c>
      <c r="G389" s="11">
        <f>(CV)*358.4</f>
        <v>358.4</v>
      </c>
    </row>
    <row r="390" spans="1:7" x14ac:dyDescent="0.2">
      <c r="A390" s="8" t="s">
        <v>2574</v>
      </c>
      <c r="B390" s="8">
        <v>22</v>
      </c>
      <c r="C390" s="8">
        <v>500</v>
      </c>
      <c r="D390" s="8">
        <v>3000</v>
      </c>
      <c r="E390" s="2" t="s">
        <v>2575</v>
      </c>
      <c r="F390" s="10">
        <v>402.72</v>
      </c>
      <c r="G390" s="11">
        <f>(CV)*402.72</f>
        <v>402.72</v>
      </c>
    </row>
    <row r="391" spans="1:7" x14ac:dyDescent="0.2">
      <c r="A391" s="8" t="s">
        <v>2576</v>
      </c>
      <c r="B391" s="8">
        <v>22</v>
      </c>
      <c r="C391" s="8">
        <v>600</v>
      </c>
      <c r="D391" s="8">
        <v>400</v>
      </c>
      <c r="E391" s="2" t="s">
        <v>2577</v>
      </c>
      <c r="F391" s="10">
        <v>120.78</v>
      </c>
      <c r="G391" s="11">
        <f>(CV)*120.78</f>
        <v>120.78</v>
      </c>
    </row>
    <row r="392" spans="1:7" x14ac:dyDescent="0.2">
      <c r="A392" s="8" t="s">
        <v>2578</v>
      </c>
      <c r="B392" s="8">
        <v>22</v>
      </c>
      <c r="C392" s="8">
        <v>600</v>
      </c>
      <c r="D392" s="8">
        <v>500</v>
      </c>
      <c r="E392" s="2" t="s">
        <v>2579</v>
      </c>
      <c r="F392" s="10">
        <v>132.06</v>
      </c>
      <c r="G392" s="11">
        <f>(CV)*132.06</f>
        <v>132.06</v>
      </c>
    </row>
    <row r="393" spans="1:7" x14ac:dyDescent="0.2">
      <c r="A393" s="8" t="s">
        <v>2580</v>
      </c>
      <c r="B393" s="8">
        <v>22</v>
      </c>
      <c r="C393" s="8">
        <v>600</v>
      </c>
      <c r="D393" s="8">
        <v>600</v>
      </c>
      <c r="E393" s="2" t="s">
        <v>2581</v>
      </c>
      <c r="F393" s="10">
        <v>144.07</v>
      </c>
      <c r="G393" s="11">
        <f>(CV)*144.07</f>
        <v>144.07</v>
      </c>
    </row>
    <row r="394" spans="1:7" x14ac:dyDescent="0.2">
      <c r="A394" s="8" t="s">
        <v>2582</v>
      </c>
      <c r="B394" s="8">
        <v>22</v>
      </c>
      <c r="C394" s="8">
        <v>600</v>
      </c>
      <c r="D394" s="8">
        <v>700</v>
      </c>
      <c r="E394" s="2" t="s">
        <v>2583</v>
      </c>
      <c r="F394" s="10">
        <v>155.94</v>
      </c>
      <c r="G394" s="11">
        <f>(CV)*155.94</f>
        <v>155.94</v>
      </c>
    </row>
    <row r="395" spans="1:7" x14ac:dyDescent="0.2">
      <c r="A395" s="8" t="s">
        <v>2584</v>
      </c>
      <c r="B395" s="8">
        <v>22</v>
      </c>
      <c r="C395" s="8">
        <v>600</v>
      </c>
      <c r="D395" s="8">
        <v>800</v>
      </c>
      <c r="E395" s="2" t="s">
        <v>2585</v>
      </c>
      <c r="F395" s="10">
        <v>168.7</v>
      </c>
      <c r="G395" s="11">
        <f>(CV)*168.7</f>
        <v>168.7</v>
      </c>
    </row>
    <row r="396" spans="1:7" x14ac:dyDescent="0.2">
      <c r="A396" s="8" t="s">
        <v>2586</v>
      </c>
      <c r="B396" s="8">
        <v>22</v>
      </c>
      <c r="C396" s="8">
        <v>600</v>
      </c>
      <c r="D396" s="8">
        <v>900</v>
      </c>
      <c r="E396" s="2" t="s">
        <v>2587</v>
      </c>
      <c r="F396" s="10">
        <v>180.8</v>
      </c>
      <c r="G396" s="11">
        <f>(CV)*180.8</f>
        <v>180.8</v>
      </c>
    </row>
    <row r="397" spans="1:7" x14ac:dyDescent="0.2">
      <c r="A397" s="8" t="s">
        <v>2588</v>
      </c>
      <c r="B397" s="8">
        <v>22</v>
      </c>
      <c r="C397" s="8">
        <v>600</v>
      </c>
      <c r="D397" s="8">
        <v>1000</v>
      </c>
      <c r="E397" s="2" t="s">
        <v>2589</v>
      </c>
      <c r="F397" s="10">
        <v>193.22</v>
      </c>
      <c r="G397" s="11">
        <f>(CV)*193.22</f>
        <v>193.22</v>
      </c>
    </row>
    <row r="398" spans="1:7" x14ac:dyDescent="0.2">
      <c r="A398" s="8" t="s">
        <v>2590</v>
      </c>
      <c r="B398" s="8">
        <v>22</v>
      </c>
      <c r="C398" s="8">
        <v>600</v>
      </c>
      <c r="D398" s="8">
        <v>1100</v>
      </c>
      <c r="E398" s="2" t="s">
        <v>2591</v>
      </c>
      <c r="F398" s="10">
        <v>205.09</v>
      </c>
      <c r="G398" s="11">
        <f>(CV)*205.09</f>
        <v>205.09</v>
      </c>
    </row>
    <row r="399" spans="1:7" x14ac:dyDescent="0.2">
      <c r="A399" s="8" t="s">
        <v>2592</v>
      </c>
      <c r="B399" s="8">
        <v>22</v>
      </c>
      <c r="C399" s="8">
        <v>600</v>
      </c>
      <c r="D399" s="8">
        <v>1200</v>
      </c>
      <c r="E399" s="2" t="s">
        <v>2593</v>
      </c>
      <c r="F399" s="10">
        <v>217.67</v>
      </c>
      <c r="G399" s="11">
        <f>(CV)*217.67</f>
        <v>217.67</v>
      </c>
    </row>
    <row r="400" spans="1:7" x14ac:dyDescent="0.2">
      <c r="A400" s="8" t="s">
        <v>2594</v>
      </c>
      <c r="B400" s="8">
        <v>22</v>
      </c>
      <c r="C400" s="8">
        <v>600</v>
      </c>
      <c r="D400" s="8">
        <v>1400</v>
      </c>
      <c r="E400" s="2" t="s">
        <v>2595</v>
      </c>
      <c r="F400" s="10">
        <v>242.46</v>
      </c>
      <c r="G400" s="11">
        <f>(CV)*242.46</f>
        <v>242.46</v>
      </c>
    </row>
    <row r="401" spans="1:7" x14ac:dyDescent="0.2">
      <c r="A401" s="8" t="s">
        <v>2596</v>
      </c>
      <c r="B401" s="8">
        <v>22</v>
      </c>
      <c r="C401" s="8">
        <v>600</v>
      </c>
      <c r="D401" s="8">
        <v>1600</v>
      </c>
      <c r="E401" s="2" t="s">
        <v>2597</v>
      </c>
      <c r="F401" s="10">
        <v>266.82</v>
      </c>
      <c r="G401" s="11">
        <f>(CV)*266.82</f>
        <v>266.82</v>
      </c>
    </row>
    <row r="402" spans="1:7" x14ac:dyDescent="0.2">
      <c r="A402" s="8" t="s">
        <v>2598</v>
      </c>
      <c r="B402" s="8">
        <v>22</v>
      </c>
      <c r="C402" s="8">
        <v>600</v>
      </c>
      <c r="D402" s="8">
        <v>1800</v>
      </c>
      <c r="E402" s="2" t="s">
        <v>2599</v>
      </c>
      <c r="F402" s="10">
        <v>291.52999999999997</v>
      </c>
      <c r="G402" s="11">
        <f>(CV)*291.53</f>
        <v>291.52999999999997</v>
      </c>
    </row>
    <row r="403" spans="1:7" x14ac:dyDescent="0.2">
      <c r="A403" s="8" t="s">
        <v>2600</v>
      </c>
      <c r="B403" s="8">
        <v>22</v>
      </c>
      <c r="C403" s="8">
        <v>600</v>
      </c>
      <c r="D403" s="8">
        <v>2000</v>
      </c>
      <c r="E403" s="2" t="s">
        <v>2601</v>
      </c>
      <c r="F403" s="10">
        <v>316.04000000000002</v>
      </c>
      <c r="G403" s="11">
        <f>(CV)*316.04</f>
        <v>316.04000000000002</v>
      </c>
    </row>
    <row r="404" spans="1:7" x14ac:dyDescent="0.2">
      <c r="A404" s="8" t="s">
        <v>2602</v>
      </c>
      <c r="B404" s="8">
        <v>22</v>
      </c>
      <c r="C404" s="8">
        <v>600</v>
      </c>
      <c r="D404" s="8">
        <v>2300</v>
      </c>
      <c r="E404" s="2" t="s">
        <v>2603</v>
      </c>
      <c r="F404" s="10">
        <v>353.25</v>
      </c>
      <c r="G404" s="11">
        <f>(CV)*353.25</f>
        <v>353.25</v>
      </c>
    </row>
    <row r="405" spans="1:7" x14ac:dyDescent="0.2">
      <c r="A405" s="8" t="s">
        <v>2604</v>
      </c>
      <c r="B405" s="8">
        <v>22</v>
      </c>
      <c r="C405" s="8">
        <v>600</v>
      </c>
      <c r="D405" s="8">
        <v>2600</v>
      </c>
      <c r="E405" s="2" t="s">
        <v>2605</v>
      </c>
      <c r="F405" s="10">
        <v>390.22</v>
      </c>
      <c r="G405" s="11">
        <f>(CV)*390.22</f>
        <v>390.22</v>
      </c>
    </row>
    <row r="406" spans="1:7" x14ac:dyDescent="0.2">
      <c r="A406" s="8" t="s">
        <v>2606</v>
      </c>
      <c r="B406" s="8">
        <v>22</v>
      </c>
      <c r="C406" s="8">
        <v>600</v>
      </c>
      <c r="D406" s="8">
        <v>3000</v>
      </c>
      <c r="E406" s="2" t="s">
        <v>2607</v>
      </c>
      <c r="F406" s="10">
        <v>439.27</v>
      </c>
      <c r="G406" s="11">
        <f>(CV)*439.27</f>
        <v>439.27</v>
      </c>
    </row>
    <row r="407" spans="1:7" x14ac:dyDescent="0.2">
      <c r="A407" s="8" t="s">
        <v>2608</v>
      </c>
      <c r="B407" s="8">
        <v>22</v>
      </c>
      <c r="C407" s="8">
        <v>900</v>
      </c>
      <c r="D407" s="8">
        <v>400</v>
      </c>
      <c r="E407" s="2" t="s">
        <v>2609</v>
      </c>
      <c r="F407" s="10">
        <v>158.15</v>
      </c>
      <c r="G407" s="11">
        <f>(CV)*158.15</f>
        <v>158.15</v>
      </c>
    </row>
    <row r="408" spans="1:7" x14ac:dyDescent="0.2">
      <c r="A408" s="8" t="s">
        <v>2610</v>
      </c>
      <c r="B408" s="8">
        <v>22</v>
      </c>
      <c r="C408" s="8">
        <v>900</v>
      </c>
      <c r="D408" s="8">
        <v>500</v>
      </c>
      <c r="E408" s="2" t="s">
        <v>2611</v>
      </c>
      <c r="F408" s="10">
        <v>174.1</v>
      </c>
      <c r="G408" s="11">
        <f>(CV)*174.1</f>
        <v>174.1</v>
      </c>
    </row>
    <row r="409" spans="1:7" x14ac:dyDescent="0.2">
      <c r="A409" s="8" t="s">
        <v>2612</v>
      </c>
      <c r="B409" s="8">
        <v>22</v>
      </c>
      <c r="C409" s="8">
        <v>900</v>
      </c>
      <c r="D409" s="8">
        <v>600</v>
      </c>
      <c r="E409" s="2" t="s">
        <v>2613</v>
      </c>
      <c r="F409" s="10">
        <v>189.97</v>
      </c>
      <c r="G409" s="11">
        <f>(CV)*189.97</f>
        <v>189.97</v>
      </c>
    </row>
    <row r="410" spans="1:7" x14ac:dyDescent="0.2">
      <c r="A410" s="8" t="s">
        <v>2614</v>
      </c>
      <c r="B410" s="8">
        <v>22</v>
      </c>
      <c r="C410" s="8">
        <v>900</v>
      </c>
      <c r="D410" s="8">
        <v>700</v>
      </c>
      <c r="E410" s="2" t="s">
        <v>2615</v>
      </c>
      <c r="F410" s="10">
        <v>210.98</v>
      </c>
      <c r="G410" s="11">
        <f>(CV)*210.98</f>
        <v>210.98</v>
      </c>
    </row>
    <row r="411" spans="1:7" x14ac:dyDescent="0.2">
      <c r="A411" s="8" t="s">
        <v>2616</v>
      </c>
      <c r="B411" s="8">
        <v>22</v>
      </c>
      <c r="C411" s="8">
        <v>900</v>
      </c>
      <c r="D411" s="8">
        <v>800</v>
      </c>
      <c r="E411" s="2" t="s">
        <v>2617</v>
      </c>
      <c r="F411" s="10">
        <v>231.08</v>
      </c>
      <c r="G411" s="11">
        <f>(CV)*231.08</f>
        <v>231.08</v>
      </c>
    </row>
    <row r="412" spans="1:7" x14ac:dyDescent="0.2">
      <c r="A412" s="8" t="s">
        <v>2618</v>
      </c>
      <c r="B412" s="8">
        <v>22</v>
      </c>
      <c r="C412" s="8">
        <v>900</v>
      </c>
      <c r="D412" s="8">
        <v>900</v>
      </c>
      <c r="E412" s="2" t="s">
        <v>2619</v>
      </c>
      <c r="F412" s="10">
        <v>252.09</v>
      </c>
      <c r="G412" s="11">
        <f>(CV)*252.09</f>
        <v>252.09</v>
      </c>
    </row>
    <row r="413" spans="1:7" x14ac:dyDescent="0.2">
      <c r="A413" s="8" t="s">
        <v>2620</v>
      </c>
      <c r="B413" s="8">
        <v>22</v>
      </c>
      <c r="C413" s="8">
        <v>900</v>
      </c>
      <c r="D413" s="8">
        <v>1000</v>
      </c>
      <c r="E413" s="2" t="s">
        <v>2621</v>
      </c>
      <c r="F413" s="10">
        <v>272.62</v>
      </c>
      <c r="G413" s="11">
        <f>(CV)*272.62</f>
        <v>272.62</v>
      </c>
    </row>
    <row r="414" spans="1:7" x14ac:dyDescent="0.2">
      <c r="A414" s="8" t="s">
        <v>2622</v>
      </c>
      <c r="B414" s="8">
        <v>22</v>
      </c>
      <c r="C414" s="8">
        <v>900</v>
      </c>
      <c r="D414" s="8">
        <v>1100</v>
      </c>
      <c r="E414" s="2" t="s">
        <v>2623</v>
      </c>
      <c r="F414" s="10">
        <v>293.08</v>
      </c>
      <c r="G414" s="11">
        <f>(CV)*293.08</f>
        <v>293.08</v>
      </c>
    </row>
    <row r="415" spans="1:7" x14ac:dyDescent="0.2">
      <c r="A415" s="8" t="s">
        <v>2624</v>
      </c>
      <c r="B415" s="8">
        <v>22</v>
      </c>
      <c r="C415" s="8">
        <v>900</v>
      </c>
      <c r="D415" s="8">
        <v>1200</v>
      </c>
      <c r="E415" s="2" t="s">
        <v>2625</v>
      </c>
      <c r="F415" s="10">
        <v>314</v>
      </c>
      <c r="G415" s="11">
        <f>(CV)*314</f>
        <v>314</v>
      </c>
    </row>
    <row r="416" spans="1:7" x14ac:dyDescent="0.2">
      <c r="A416" s="8" t="s">
        <v>2626</v>
      </c>
      <c r="B416" s="8">
        <v>22</v>
      </c>
      <c r="C416" s="8">
        <v>900</v>
      </c>
      <c r="D416" s="8">
        <v>1400</v>
      </c>
      <c r="E416" s="2" t="s">
        <v>2627</v>
      </c>
      <c r="F416" s="10">
        <v>355.22</v>
      </c>
      <c r="G416" s="11">
        <f>(CV)*355.22</f>
        <v>355.22</v>
      </c>
    </row>
    <row r="417" spans="1:7" x14ac:dyDescent="0.2">
      <c r="A417" s="8" t="s">
        <v>2628</v>
      </c>
      <c r="B417" s="8">
        <v>22</v>
      </c>
      <c r="C417" s="8">
        <v>900</v>
      </c>
      <c r="D417" s="8">
        <v>1600</v>
      </c>
      <c r="E417" s="2" t="s">
        <v>2629</v>
      </c>
      <c r="F417" s="10">
        <v>396.43</v>
      </c>
      <c r="G417" s="11">
        <f>(CV)*396.43</f>
        <v>396.43</v>
      </c>
    </row>
    <row r="418" spans="1:7" x14ac:dyDescent="0.2">
      <c r="A418" s="8" t="s">
        <v>2630</v>
      </c>
      <c r="B418" s="8">
        <v>22</v>
      </c>
      <c r="C418" s="8">
        <v>900</v>
      </c>
      <c r="D418" s="8">
        <v>1800</v>
      </c>
      <c r="E418" s="2" t="s">
        <v>2631</v>
      </c>
      <c r="F418" s="10">
        <v>437.56</v>
      </c>
      <c r="G418" s="11">
        <f>(CV)*437.56</f>
        <v>437.56</v>
      </c>
    </row>
    <row r="419" spans="1:7" x14ac:dyDescent="0.2">
      <c r="A419" s="8" t="s">
        <v>2632</v>
      </c>
      <c r="B419" s="8">
        <v>22</v>
      </c>
      <c r="C419" s="8">
        <v>900</v>
      </c>
      <c r="D419" s="8">
        <v>2000</v>
      </c>
      <c r="E419" s="2" t="s">
        <v>2633</v>
      </c>
      <c r="F419" s="10">
        <v>479.36</v>
      </c>
      <c r="G419" s="11">
        <f>(CV)*479.36</f>
        <v>479.36</v>
      </c>
    </row>
    <row r="420" spans="1:7" x14ac:dyDescent="0.2">
      <c r="A420" s="8" t="s">
        <v>2634</v>
      </c>
      <c r="B420" s="8">
        <v>22</v>
      </c>
      <c r="C420" s="8">
        <v>900</v>
      </c>
      <c r="D420" s="8">
        <v>2300</v>
      </c>
      <c r="E420" s="2" t="s">
        <v>2635</v>
      </c>
      <c r="F420" s="10">
        <v>537.5</v>
      </c>
      <c r="G420" s="11">
        <f>(CV)*537.5</f>
        <v>537.5</v>
      </c>
    </row>
    <row r="421" spans="1:7" x14ac:dyDescent="0.2">
      <c r="A421" s="8" t="s">
        <v>2636</v>
      </c>
      <c r="B421" s="8">
        <v>22</v>
      </c>
      <c r="C421" s="8">
        <v>900</v>
      </c>
      <c r="D421" s="8">
        <v>2600</v>
      </c>
      <c r="E421" s="2" t="s">
        <v>2637</v>
      </c>
      <c r="F421" s="10">
        <v>593.41999999999996</v>
      </c>
      <c r="G421" s="11">
        <f>(CV)*593.42</f>
        <v>593.41999999999996</v>
      </c>
    </row>
    <row r="422" spans="1:7" x14ac:dyDescent="0.2">
      <c r="A422" s="8" t="s">
        <v>2638</v>
      </c>
      <c r="B422" s="8">
        <v>22</v>
      </c>
      <c r="C422" s="8">
        <v>900</v>
      </c>
      <c r="D422" s="8">
        <v>3000</v>
      </c>
      <c r="E422" s="2" t="s">
        <v>2639</v>
      </c>
      <c r="F422" s="10">
        <v>669.55</v>
      </c>
      <c r="G422" s="11">
        <f>(CV)*669.55</f>
        <v>669.55</v>
      </c>
    </row>
    <row r="423" spans="1:7" x14ac:dyDescent="0.2">
      <c r="A423" s="8" t="s">
        <v>2640</v>
      </c>
      <c r="B423" s="8">
        <v>33</v>
      </c>
      <c r="C423" s="8">
        <v>200</v>
      </c>
      <c r="D423" s="8">
        <v>600</v>
      </c>
      <c r="E423" s="2" t="s">
        <v>2641</v>
      </c>
      <c r="F423" s="10">
        <v>146.81</v>
      </c>
      <c r="G423" s="11">
        <f>(CV)*146.81</f>
        <v>146.81</v>
      </c>
    </row>
    <row r="424" spans="1:7" x14ac:dyDescent="0.2">
      <c r="A424" s="8" t="s">
        <v>4312</v>
      </c>
      <c r="B424" s="8">
        <v>33</v>
      </c>
      <c r="C424" s="8">
        <v>200</v>
      </c>
      <c r="D424" s="8">
        <v>600</v>
      </c>
      <c r="E424" s="2" t="s">
        <v>4313</v>
      </c>
      <c r="F424" s="10">
        <v>146.81</v>
      </c>
      <c r="G424" s="11">
        <f>(CV)*146.81</f>
        <v>146.81</v>
      </c>
    </row>
    <row r="425" spans="1:7" x14ac:dyDescent="0.2">
      <c r="A425" s="8" t="s">
        <v>2642</v>
      </c>
      <c r="B425" s="8">
        <v>33</v>
      </c>
      <c r="C425" s="8">
        <v>200</v>
      </c>
      <c r="D425" s="8">
        <v>700</v>
      </c>
      <c r="E425" s="2" t="s">
        <v>2643</v>
      </c>
      <c r="F425" s="10">
        <v>155.21</v>
      </c>
      <c r="G425" s="11">
        <f>(CV)*155.21</f>
        <v>155.21</v>
      </c>
    </row>
    <row r="426" spans="1:7" x14ac:dyDescent="0.2">
      <c r="A426" s="8" t="s">
        <v>4314</v>
      </c>
      <c r="B426" s="8">
        <v>33</v>
      </c>
      <c r="C426" s="8">
        <v>200</v>
      </c>
      <c r="D426" s="8">
        <v>700</v>
      </c>
      <c r="E426" s="2" t="s">
        <v>4315</v>
      </c>
      <c r="F426" s="10">
        <v>155.21</v>
      </c>
      <c r="G426" s="11">
        <f>(CV)*155.21</f>
        <v>155.21</v>
      </c>
    </row>
    <row r="427" spans="1:7" x14ac:dyDescent="0.2">
      <c r="A427" s="8" t="s">
        <v>2644</v>
      </c>
      <c r="B427" s="8">
        <v>33</v>
      </c>
      <c r="C427" s="8">
        <v>200</v>
      </c>
      <c r="D427" s="8">
        <v>800</v>
      </c>
      <c r="E427" s="2" t="s">
        <v>2645</v>
      </c>
      <c r="F427" s="10">
        <v>164.44</v>
      </c>
      <c r="G427" s="11">
        <f>(CV)*164.44</f>
        <v>164.44</v>
      </c>
    </row>
    <row r="428" spans="1:7" x14ac:dyDescent="0.2">
      <c r="A428" s="8" t="s">
        <v>4316</v>
      </c>
      <c r="B428" s="8">
        <v>33</v>
      </c>
      <c r="C428" s="8">
        <v>200</v>
      </c>
      <c r="D428" s="8">
        <v>800</v>
      </c>
      <c r="E428" s="2" t="s">
        <v>4317</v>
      </c>
      <c r="F428" s="10">
        <v>164.44</v>
      </c>
      <c r="G428" s="11">
        <f>(CV)*164.44</f>
        <v>164.44</v>
      </c>
    </row>
    <row r="429" spans="1:7" x14ac:dyDescent="0.2">
      <c r="A429" s="8" t="s">
        <v>2646</v>
      </c>
      <c r="B429" s="8">
        <v>33</v>
      </c>
      <c r="C429" s="8">
        <v>200</v>
      </c>
      <c r="D429" s="8">
        <v>900</v>
      </c>
      <c r="E429" s="2" t="s">
        <v>2647</v>
      </c>
      <c r="F429" s="10">
        <v>173.15</v>
      </c>
      <c r="G429" s="11">
        <f>(CV)*173.15</f>
        <v>173.15</v>
      </c>
    </row>
    <row r="430" spans="1:7" x14ac:dyDescent="0.2">
      <c r="A430" s="8" t="s">
        <v>4318</v>
      </c>
      <c r="B430" s="8">
        <v>33</v>
      </c>
      <c r="C430" s="8">
        <v>200</v>
      </c>
      <c r="D430" s="8">
        <v>900</v>
      </c>
      <c r="E430" s="2" t="s">
        <v>4319</v>
      </c>
      <c r="F430" s="10">
        <v>173.15</v>
      </c>
      <c r="G430" s="11">
        <f>(CV)*173.15</f>
        <v>173.15</v>
      </c>
    </row>
    <row r="431" spans="1:7" x14ac:dyDescent="0.2">
      <c r="A431" s="8" t="s">
        <v>2648</v>
      </c>
      <c r="B431" s="8">
        <v>33</v>
      </c>
      <c r="C431" s="8">
        <v>200</v>
      </c>
      <c r="D431" s="8">
        <v>1000</v>
      </c>
      <c r="E431" s="2" t="s">
        <v>2649</v>
      </c>
      <c r="F431" s="10">
        <v>181.92</v>
      </c>
      <c r="G431" s="11">
        <f>(CV)*181.92</f>
        <v>181.92</v>
      </c>
    </row>
    <row r="432" spans="1:7" x14ac:dyDescent="0.2">
      <c r="A432" s="8" t="s">
        <v>4320</v>
      </c>
      <c r="B432" s="8">
        <v>33</v>
      </c>
      <c r="C432" s="8">
        <v>200</v>
      </c>
      <c r="D432" s="8">
        <v>1000</v>
      </c>
      <c r="E432" s="2" t="s">
        <v>4321</v>
      </c>
      <c r="F432" s="10">
        <v>181.92</v>
      </c>
      <c r="G432" s="11">
        <f>(CV)*181.92</f>
        <v>181.92</v>
      </c>
    </row>
    <row r="433" spans="1:7" x14ac:dyDescent="0.2">
      <c r="A433" s="8" t="s">
        <v>2650</v>
      </c>
      <c r="B433" s="8">
        <v>33</v>
      </c>
      <c r="C433" s="8">
        <v>200</v>
      </c>
      <c r="D433" s="8">
        <v>1100</v>
      </c>
      <c r="E433" s="2" t="s">
        <v>2651</v>
      </c>
      <c r="F433" s="10">
        <v>191.3</v>
      </c>
      <c r="G433" s="11">
        <f>(CV)*191.3</f>
        <v>191.3</v>
      </c>
    </row>
    <row r="434" spans="1:7" x14ac:dyDescent="0.2">
      <c r="A434" s="8" t="s">
        <v>4322</v>
      </c>
      <c r="B434" s="8">
        <v>33</v>
      </c>
      <c r="C434" s="8">
        <v>200</v>
      </c>
      <c r="D434" s="8">
        <v>1100</v>
      </c>
      <c r="E434" s="2" t="s">
        <v>4323</v>
      </c>
      <c r="F434" s="10">
        <v>191.3</v>
      </c>
      <c r="G434" s="11">
        <f>(CV)*191.3</f>
        <v>191.3</v>
      </c>
    </row>
    <row r="435" spans="1:7" x14ac:dyDescent="0.2">
      <c r="A435" s="8" t="s">
        <v>2652</v>
      </c>
      <c r="B435" s="8">
        <v>33</v>
      </c>
      <c r="C435" s="8">
        <v>200</v>
      </c>
      <c r="D435" s="8">
        <v>1200</v>
      </c>
      <c r="E435" s="2" t="s">
        <v>2653</v>
      </c>
      <c r="F435" s="10">
        <v>200.28</v>
      </c>
      <c r="G435" s="11">
        <f>(CV)*200.28</f>
        <v>200.28</v>
      </c>
    </row>
    <row r="436" spans="1:7" x14ac:dyDescent="0.2">
      <c r="A436" s="8" t="s">
        <v>4324</v>
      </c>
      <c r="B436" s="8">
        <v>33</v>
      </c>
      <c r="C436" s="8">
        <v>200</v>
      </c>
      <c r="D436" s="8">
        <v>1200</v>
      </c>
      <c r="E436" s="2" t="s">
        <v>4325</v>
      </c>
      <c r="F436" s="10">
        <v>200.28</v>
      </c>
      <c r="G436" s="11">
        <f>(CV)*200.28</f>
        <v>200.28</v>
      </c>
    </row>
    <row r="437" spans="1:7" x14ac:dyDescent="0.2">
      <c r="A437" s="8" t="s">
        <v>2654</v>
      </c>
      <c r="B437" s="8">
        <v>33</v>
      </c>
      <c r="C437" s="8">
        <v>200</v>
      </c>
      <c r="D437" s="8">
        <v>1400</v>
      </c>
      <c r="E437" s="2" t="s">
        <v>2655</v>
      </c>
      <c r="F437" s="10">
        <v>218.51</v>
      </c>
      <c r="G437" s="11">
        <f>(CV)*218.51</f>
        <v>218.51</v>
      </c>
    </row>
    <row r="438" spans="1:7" x14ac:dyDescent="0.2">
      <c r="A438" s="8" t="s">
        <v>4326</v>
      </c>
      <c r="B438" s="8">
        <v>33</v>
      </c>
      <c r="C438" s="8">
        <v>200</v>
      </c>
      <c r="D438" s="8">
        <v>1400</v>
      </c>
      <c r="E438" s="2" t="s">
        <v>4327</v>
      </c>
      <c r="F438" s="10">
        <v>218.51</v>
      </c>
      <c r="G438" s="11">
        <f>(CV)*218.51</f>
        <v>218.51</v>
      </c>
    </row>
    <row r="439" spans="1:7" x14ac:dyDescent="0.2">
      <c r="A439" s="8" t="s">
        <v>2656</v>
      </c>
      <c r="B439" s="8">
        <v>33</v>
      </c>
      <c r="C439" s="8">
        <v>200</v>
      </c>
      <c r="D439" s="8">
        <v>1600</v>
      </c>
      <c r="E439" s="2" t="s">
        <v>2657</v>
      </c>
      <c r="F439" s="10">
        <v>236.66</v>
      </c>
      <c r="G439" s="11">
        <f>(CV)*236.66</f>
        <v>236.66</v>
      </c>
    </row>
    <row r="440" spans="1:7" x14ac:dyDescent="0.2">
      <c r="A440" s="8" t="s">
        <v>4328</v>
      </c>
      <c r="B440" s="8">
        <v>33</v>
      </c>
      <c r="C440" s="8">
        <v>200</v>
      </c>
      <c r="D440" s="8">
        <v>1600</v>
      </c>
      <c r="E440" s="2" t="s">
        <v>4329</v>
      </c>
      <c r="F440" s="10">
        <v>236.66</v>
      </c>
      <c r="G440" s="11">
        <f>(CV)*236.66</f>
        <v>236.66</v>
      </c>
    </row>
    <row r="441" spans="1:7" x14ac:dyDescent="0.2">
      <c r="A441" s="8" t="s">
        <v>2658</v>
      </c>
      <c r="B441" s="8">
        <v>33</v>
      </c>
      <c r="C441" s="8">
        <v>200</v>
      </c>
      <c r="D441" s="8">
        <v>1800</v>
      </c>
      <c r="E441" s="2" t="s">
        <v>2659</v>
      </c>
      <c r="F441" s="10">
        <v>249.29</v>
      </c>
      <c r="G441" s="11">
        <f>(CV)*249.29</f>
        <v>249.29</v>
      </c>
    </row>
    <row r="442" spans="1:7" x14ac:dyDescent="0.2">
      <c r="A442" s="8" t="s">
        <v>4330</v>
      </c>
      <c r="B442" s="8">
        <v>33</v>
      </c>
      <c r="C442" s="8">
        <v>200</v>
      </c>
      <c r="D442" s="8">
        <v>1800</v>
      </c>
      <c r="E442" s="2" t="s">
        <v>4331</v>
      </c>
      <c r="F442" s="10">
        <v>249.29</v>
      </c>
      <c r="G442" s="11">
        <f>(CV)*249.29</f>
        <v>249.29</v>
      </c>
    </row>
    <row r="443" spans="1:7" x14ac:dyDescent="0.2">
      <c r="A443" s="8" t="s">
        <v>2660</v>
      </c>
      <c r="B443" s="8">
        <v>33</v>
      </c>
      <c r="C443" s="8">
        <v>200</v>
      </c>
      <c r="D443" s="8">
        <v>2000</v>
      </c>
      <c r="E443" s="2" t="s">
        <v>2661</v>
      </c>
      <c r="F443" s="10">
        <v>272.73</v>
      </c>
      <c r="G443" s="11">
        <f>(CV)*272.73</f>
        <v>272.73</v>
      </c>
    </row>
    <row r="444" spans="1:7" x14ac:dyDescent="0.2">
      <c r="A444" s="8" t="s">
        <v>4332</v>
      </c>
      <c r="B444" s="8">
        <v>33</v>
      </c>
      <c r="C444" s="8">
        <v>200</v>
      </c>
      <c r="D444" s="8">
        <v>2000</v>
      </c>
      <c r="E444" s="2" t="s">
        <v>4333</v>
      </c>
      <c r="F444" s="10">
        <v>272.73</v>
      </c>
      <c r="G444" s="11">
        <f>(CV)*272.73</f>
        <v>272.73</v>
      </c>
    </row>
    <row r="445" spans="1:7" x14ac:dyDescent="0.2">
      <c r="A445" s="8" t="s">
        <v>2662</v>
      </c>
      <c r="B445" s="8">
        <v>33</v>
      </c>
      <c r="C445" s="8">
        <v>200</v>
      </c>
      <c r="D445" s="8">
        <v>2300</v>
      </c>
      <c r="E445" s="2" t="s">
        <v>2663</v>
      </c>
      <c r="F445" s="10">
        <v>300.18</v>
      </c>
      <c r="G445" s="11">
        <f>(CV)*300.18</f>
        <v>300.18</v>
      </c>
    </row>
    <row r="446" spans="1:7" x14ac:dyDescent="0.2">
      <c r="A446" s="8" t="s">
        <v>4334</v>
      </c>
      <c r="B446" s="8">
        <v>33</v>
      </c>
      <c r="C446" s="8">
        <v>200</v>
      </c>
      <c r="D446" s="8">
        <v>2300</v>
      </c>
      <c r="E446" s="2" t="s">
        <v>4335</v>
      </c>
      <c r="F446" s="10">
        <v>300.18</v>
      </c>
      <c r="G446" s="11">
        <f>(CV)*300.18</f>
        <v>300.18</v>
      </c>
    </row>
    <row r="447" spans="1:7" x14ac:dyDescent="0.2">
      <c r="A447" s="8" t="s">
        <v>2664</v>
      </c>
      <c r="B447" s="8">
        <v>33</v>
      </c>
      <c r="C447" s="8">
        <v>200</v>
      </c>
      <c r="D447" s="8">
        <v>2600</v>
      </c>
      <c r="E447" s="2" t="s">
        <v>2665</v>
      </c>
      <c r="F447" s="10">
        <v>327.23</v>
      </c>
      <c r="G447" s="11">
        <f>(CV)*327.23</f>
        <v>327.23</v>
      </c>
    </row>
    <row r="448" spans="1:7" x14ac:dyDescent="0.2">
      <c r="A448" s="8" t="s">
        <v>4336</v>
      </c>
      <c r="B448" s="8">
        <v>33</v>
      </c>
      <c r="C448" s="8">
        <v>200</v>
      </c>
      <c r="D448" s="8">
        <v>2600</v>
      </c>
      <c r="E448" s="2" t="s">
        <v>4337</v>
      </c>
      <c r="F448" s="10">
        <v>327.23</v>
      </c>
      <c r="G448" s="11">
        <f>(CV)*327.23</f>
        <v>327.23</v>
      </c>
    </row>
    <row r="449" spans="1:7" x14ac:dyDescent="0.2">
      <c r="A449" s="8" t="s">
        <v>2666</v>
      </c>
      <c r="B449" s="8">
        <v>33</v>
      </c>
      <c r="C449" s="8">
        <v>200</v>
      </c>
      <c r="D449" s="8">
        <v>3000</v>
      </c>
      <c r="E449" s="2" t="s">
        <v>2667</v>
      </c>
      <c r="F449" s="10">
        <v>355.36</v>
      </c>
      <c r="G449" s="11">
        <f>(CV)*355.36</f>
        <v>355.36</v>
      </c>
    </row>
    <row r="450" spans="1:7" x14ac:dyDescent="0.2">
      <c r="A450" s="8" t="s">
        <v>4338</v>
      </c>
      <c r="B450" s="8">
        <v>33</v>
      </c>
      <c r="C450" s="8">
        <v>200</v>
      </c>
      <c r="D450" s="8">
        <v>3000</v>
      </c>
      <c r="E450" s="2" t="s">
        <v>4339</v>
      </c>
      <c r="F450" s="10">
        <v>355.36</v>
      </c>
      <c r="G450" s="11">
        <f>(CV)*355.36</f>
        <v>355.36</v>
      </c>
    </row>
    <row r="451" spans="1:7" x14ac:dyDescent="0.2">
      <c r="A451" s="8" t="s">
        <v>2668</v>
      </c>
      <c r="B451" s="8">
        <v>33</v>
      </c>
      <c r="C451" s="8">
        <v>300</v>
      </c>
      <c r="D451" s="8">
        <v>400</v>
      </c>
      <c r="E451" s="2" t="s">
        <v>2669</v>
      </c>
      <c r="F451" s="10">
        <v>161.5</v>
      </c>
      <c r="G451" s="11">
        <f>(CV)*161.5</f>
        <v>161.5</v>
      </c>
    </row>
    <row r="452" spans="1:7" x14ac:dyDescent="0.2">
      <c r="A452" s="8" t="s">
        <v>4340</v>
      </c>
      <c r="B452" s="8">
        <v>33</v>
      </c>
      <c r="C452" s="8">
        <v>300</v>
      </c>
      <c r="D452" s="8">
        <v>400</v>
      </c>
      <c r="E452" s="2" t="s">
        <v>4341</v>
      </c>
      <c r="F452" s="10">
        <v>161.5</v>
      </c>
      <c r="G452" s="11">
        <f>(CV)*161.5</f>
        <v>161.5</v>
      </c>
    </row>
    <row r="453" spans="1:7" x14ac:dyDescent="0.2">
      <c r="A453" s="8" t="s">
        <v>2670</v>
      </c>
      <c r="B453" s="8">
        <v>33</v>
      </c>
      <c r="C453" s="8">
        <v>300</v>
      </c>
      <c r="D453" s="8">
        <v>500</v>
      </c>
      <c r="E453" s="2" t="s">
        <v>2671</v>
      </c>
      <c r="F453" s="10">
        <v>170.08</v>
      </c>
      <c r="G453" s="11">
        <f>(CV)*170.08</f>
        <v>170.08</v>
      </c>
    </row>
    <row r="454" spans="1:7" x14ac:dyDescent="0.2">
      <c r="A454" s="8" t="s">
        <v>4342</v>
      </c>
      <c r="B454" s="8">
        <v>33</v>
      </c>
      <c r="C454" s="8">
        <v>300</v>
      </c>
      <c r="D454" s="8">
        <v>500</v>
      </c>
      <c r="E454" s="2" t="s">
        <v>4343</v>
      </c>
      <c r="F454" s="10">
        <v>170.08</v>
      </c>
      <c r="G454" s="11">
        <f>(CV)*170.08</f>
        <v>170.08</v>
      </c>
    </row>
    <row r="455" spans="1:7" x14ac:dyDescent="0.2">
      <c r="A455" s="8" t="s">
        <v>2672</v>
      </c>
      <c r="B455" s="8">
        <v>33</v>
      </c>
      <c r="C455" s="8">
        <v>300</v>
      </c>
      <c r="D455" s="8">
        <v>600</v>
      </c>
      <c r="E455" s="2" t="s">
        <v>2673</v>
      </c>
      <c r="F455" s="10">
        <v>179.09</v>
      </c>
      <c r="G455" s="11">
        <f>(CV)*179.09</f>
        <v>179.09</v>
      </c>
    </row>
    <row r="456" spans="1:7" x14ac:dyDescent="0.2">
      <c r="A456" s="8" t="s">
        <v>4344</v>
      </c>
      <c r="B456" s="8">
        <v>33</v>
      </c>
      <c r="C456" s="8">
        <v>300</v>
      </c>
      <c r="D456" s="8">
        <v>600</v>
      </c>
      <c r="E456" s="2" t="s">
        <v>4345</v>
      </c>
      <c r="F456" s="10">
        <v>179.09</v>
      </c>
      <c r="G456" s="11">
        <f>(CV)*179.09</f>
        <v>179.09</v>
      </c>
    </row>
    <row r="457" spans="1:7" x14ac:dyDescent="0.2">
      <c r="A457" s="8" t="s">
        <v>2674</v>
      </c>
      <c r="B457" s="8">
        <v>33</v>
      </c>
      <c r="C457" s="8">
        <v>300</v>
      </c>
      <c r="D457" s="8">
        <v>700</v>
      </c>
      <c r="E457" s="2" t="s">
        <v>2675</v>
      </c>
      <c r="F457" s="10">
        <v>188.9</v>
      </c>
      <c r="G457" s="11">
        <f>(CV)*188.9</f>
        <v>188.9</v>
      </c>
    </row>
    <row r="458" spans="1:7" x14ac:dyDescent="0.2">
      <c r="A458" s="8" t="s">
        <v>4346</v>
      </c>
      <c r="B458" s="8">
        <v>33</v>
      </c>
      <c r="C458" s="8">
        <v>300</v>
      </c>
      <c r="D458" s="8">
        <v>700</v>
      </c>
      <c r="E458" s="2" t="s">
        <v>4347</v>
      </c>
      <c r="F458" s="10">
        <v>188.9</v>
      </c>
      <c r="G458" s="11">
        <f>(CV)*188.9</f>
        <v>188.9</v>
      </c>
    </row>
    <row r="459" spans="1:7" x14ac:dyDescent="0.2">
      <c r="A459" s="8" t="s">
        <v>2676</v>
      </c>
      <c r="B459" s="8">
        <v>33</v>
      </c>
      <c r="C459" s="8">
        <v>300</v>
      </c>
      <c r="D459" s="8">
        <v>800</v>
      </c>
      <c r="E459" s="2" t="s">
        <v>2677</v>
      </c>
      <c r="F459" s="10">
        <v>199.61</v>
      </c>
      <c r="G459" s="11">
        <f>(CV)*199.61</f>
        <v>199.61</v>
      </c>
    </row>
    <row r="460" spans="1:7" x14ac:dyDescent="0.2">
      <c r="A460" s="8" t="s">
        <v>4348</v>
      </c>
      <c r="B460" s="8">
        <v>33</v>
      </c>
      <c r="C460" s="8">
        <v>300</v>
      </c>
      <c r="D460" s="8">
        <v>800</v>
      </c>
      <c r="E460" s="2" t="s">
        <v>4349</v>
      </c>
      <c r="F460" s="10">
        <v>199.61</v>
      </c>
      <c r="G460" s="11">
        <f>(CV)*199.61</f>
        <v>199.61</v>
      </c>
    </row>
    <row r="461" spans="1:7" x14ac:dyDescent="0.2">
      <c r="A461" s="8" t="s">
        <v>2678</v>
      </c>
      <c r="B461" s="8">
        <v>33</v>
      </c>
      <c r="C461" s="8">
        <v>300</v>
      </c>
      <c r="D461" s="8">
        <v>900</v>
      </c>
      <c r="E461" s="2" t="s">
        <v>2679</v>
      </c>
      <c r="F461" s="10">
        <v>209.83</v>
      </c>
      <c r="G461" s="11">
        <f>(CV)*209.83</f>
        <v>209.83</v>
      </c>
    </row>
    <row r="462" spans="1:7" x14ac:dyDescent="0.2">
      <c r="A462" s="8" t="s">
        <v>4350</v>
      </c>
      <c r="B462" s="8">
        <v>33</v>
      </c>
      <c r="C462" s="8">
        <v>300</v>
      </c>
      <c r="D462" s="8">
        <v>900</v>
      </c>
      <c r="E462" s="2" t="s">
        <v>4351</v>
      </c>
      <c r="F462" s="10">
        <v>209.83</v>
      </c>
      <c r="G462" s="11">
        <f>(CV)*209.83</f>
        <v>209.83</v>
      </c>
    </row>
    <row r="463" spans="1:7" x14ac:dyDescent="0.2">
      <c r="A463" s="8" t="s">
        <v>2680</v>
      </c>
      <c r="B463" s="8">
        <v>33</v>
      </c>
      <c r="C463" s="8">
        <v>300</v>
      </c>
      <c r="D463" s="8">
        <v>1000</v>
      </c>
      <c r="E463" s="2" t="s">
        <v>2681</v>
      </c>
      <c r="F463" s="10">
        <v>220.06</v>
      </c>
      <c r="G463" s="11">
        <f>(CV)*220.06</f>
        <v>220.06</v>
      </c>
    </row>
    <row r="464" spans="1:7" x14ac:dyDescent="0.2">
      <c r="A464" s="8" t="s">
        <v>4352</v>
      </c>
      <c r="B464" s="8">
        <v>33</v>
      </c>
      <c r="C464" s="8">
        <v>300</v>
      </c>
      <c r="D464" s="8">
        <v>1000</v>
      </c>
      <c r="E464" s="2" t="s">
        <v>4353</v>
      </c>
      <c r="F464" s="10">
        <v>220.06</v>
      </c>
      <c r="G464" s="11">
        <f>(CV)*220.06</f>
        <v>220.06</v>
      </c>
    </row>
    <row r="465" spans="1:7" x14ac:dyDescent="0.2">
      <c r="A465" s="8" t="s">
        <v>2682</v>
      </c>
      <c r="B465" s="8">
        <v>33</v>
      </c>
      <c r="C465" s="8">
        <v>300</v>
      </c>
      <c r="D465" s="8">
        <v>1100</v>
      </c>
      <c r="E465" s="2" t="s">
        <v>2683</v>
      </c>
      <c r="F465" s="10">
        <v>230.93</v>
      </c>
      <c r="G465" s="11">
        <f>(CV)*230.93</f>
        <v>230.93</v>
      </c>
    </row>
    <row r="466" spans="1:7" x14ac:dyDescent="0.2">
      <c r="A466" s="8" t="s">
        <v>4354</v>
      </c>
      <c r="B466" s="8">
        <v>33</v>
      </c>
      <c r="C466" s="8">
        <v>300</v>
      </c>
      <c r="D466" s="8">
        <v>1100</v>
      </c>
      <c r="E466" s="2" t="s">
        <v>4355</v>
      </c>
      <c r="F466" s="10">
        <v>230.93</v>
      </c>
      <c r="G466" s="11">
        <f>(CV)*230.93</f>
        <v>230.93</v>
      </c>
    </row>
    <row r="467" spans="1:7" x14ac:dyDescent="0.2">
      <c r="A467" s="8" t="s">
        <v>2684</v>
      </c>
      <c r="B467" s="8">
        <v>33</v>
      </c>
      <c r="C467" s="8">
        <v>300</v>
      </c>
      <c r="D467" s="8">
        <v>1200</v>
      </c>
      <c r="E467" s="2" t="s">
        <v>2685</v>
      </c>
      <c r="F467" s="10">
        <v>241.47</v>
      </c>
      <c r="G467" s="11">
        <f>(CV)*241.47</f>
        <v>241.47</v>
      </c>
    </row>
    <row r="468" spans="1:7" x14ac:dyDescent="0.2">
      <c r="A468" s="8" t="s">
        <v>4356</v>
      </c>
      <c r="B468" s="8">
        <v>33</v>
      </c>
      <c r="C468" s="8">
        <v>300</v>
      </c>
      <c r="D468" s="8">
        <v>1200</v>
      </c>
      <c r="E468" s="2" t="s">
        <v>4357</v>
      </c>
      <c r="F468" s="10">
        <v>241.47</v>
      </c>
      <c r="G468" s="11">
        <f>(CV)*241.47</f>
        <v>241.47</v>
      </c>
    </row>
    <row r="469" spans="1:7" x14ac:dyDescent="0.2">
      <c r="A469" s="8" t="s">
        <v>2686</v>
      </c>
      <c r="B469" s="8">
        <v>33</v>
      </c>
      <c r="C469" s="8">
        <v>300</v>
      </c>
      <c r="D469" s="8">
        <v>1400</v>
      </c>
      <c r="E469" s="2" t="s">
        <v>2687</v>
      </c>
      <c r="F469" s="10">
        <v>262.74</v>
      </c>
      <c r="G469" s="11">
        <f>(CV)*262.74</f>
        <v>262.74</v>
      </c>
    </row>
    <row r="470" spans="1:7" x14ac:dyDescent="0.2">
      <c r="A470" s="8" t="s">
        <v>4358</v>
      </c>
      <c r="B470" s="8">
        <v>33</v>
      </c>
      <c r="C470" s="8">
        <v>300</v>
      </c>
      <c r="D470" s="8">
        <v>1400</v>
      </c>
      <c r="E470" s="2" t="s">
        <v>4359</v>
      </c>
      <c r="F470" s="10">
        <v>262.74</v>
      </c>
      <c r="G470" s="11">
        <f>(CV)*262.74</f>
        <v>262.74</v>
      </c>
    </row>
    <row r="471" spans="1:7" x14ac:dyDescent="0.2">
      <c r="A471" s="8" t="s">
        <v>2688</v>
      </c>
      <c r="B471" s="8">
        <v>33</v>
      </c>
      <c r="C471" s="8">
        <v>300</v>
      </c>
      <c r="D471" s="8">
        <v>1600</v>
      </c>
      <c r="E471" s="2" t="s">
        <v>2689</v>
      </c>
      <c r="F471" s="10">
        <v>283.83</v>
      </c>
      <c r="G471" s="11">
        <f>(CV)*283.83</f>
        <v>283.83</v>
      </c>
    </row>
    <row r="472" spans="1:7" x14ac:dyDescent="0.2">
      <c r="A472" s="8" t="s">
        <v>4360</v>
      </c>
      <c r="B472" s="8">
        <v>33</v>
      </c>
      <c r="C472" s="8">
        <v>300</v>
      </c>
      <c r="D472" s="8">
        <v>1600</v>
      </c>
      <c r="E472" s="2" t="s">
        <v>4361</v>
      </c>
      <c r="F472" s="10">
        <v>283.83</v>
      </c>
      <c r="G472" s="11">
        <f>(CV)*283.83</f>
        <v>283.83</v>
      </c>
    </row>
    <row r="473" spans="1:7" x14ac:dyDescent="0.2">
      <c r="A473" s="8" t="s">
        <v>2690</v>
      </c>
      <c r="B473" s="8">
        <v>33</v>
      </c>
      <c r="C473" s="8">
        <v>300</v>
      </c>
      <c r="D473" s="8">
        <v>1800</v>
      </c>
      <c r="E473" s="2" t="s">
        <v>2691</v>
      </c>
      <c r="F473" s="10">
        <v>298.55</v>
      </c>
      <c r="G473" s="11">
        <f>(CV)*298.55</f>
        <v>298.55</v>
      </c>
    </row>
    <row r="474" spans="1:7" x14ac:dyDescent="0.2">
      <c r="A474" s="8" t="s">
        <v>4362</v>
      </c>
      <c r="B474" s="8">
        <v>33</v>
      </c>
      <c r="C474" s="8">
        <v>300</v>
      </c>
      <c r="D474" s="8">
        <v>1800</v>
      </c>
      <c r="E474" s="2" t="s">
        <v>4363</v>
      </c>
      <c r="F474" s="10">
        <v>298.55</v>
      </c>
      <c r="G474" s="11">
        <f>(CV)*298.55</f>
        <v>298.55</v>
      </c>
    </row>
    <row r="475" spans="1:7" x14ac:dyDescent="0.2">
      <c r="A475" s="8" t="s">
        <v>2692</v>
      </c>
      <c r="B475" s="8">
        <v>33</v>
      </c>
      <c r="C475" s="8">
        <v>300</v>
      </c>
      <c r="D475" s="8">
        <v>2000</v>
      </c>
      <c r="E475" s="2" t="s">
        <v>2693</v>
      </c>
      <c r="F475" s="10">
        <v>325.94</v>
      </c>
      <c r="G475" s="11">
        <f>(CV)*325.94</f>
        <v>325.94</v>
      </c>
    </row>
    <row r="476" spans="1:7" x14ac:dyDescent="0.2">
      <c r="A476" s="8" t="s">
        <v>4364</v>
      </c>
      <c r="B476" s="8">
        <v>33</v>
      </c>
      <c r="C476" s="8">
        <v>300</v>
      </c>
      <c r="D476" s="8">
        <v>2000</v>
      </c>
      <c r="E476" s="2" t="s">
        <v>4365</v>
      </c>
      <c r="F476" s="10">
        <v>325.94</v>
      </c>
      <c r="G476" s="11">
        <f>(CV)*325.94</f>
        <v>325.94</v>
      </c>
    </row>
    <row r="477" spans="1:7" x14ac:dyDescent="0.2">
      <c r="A477" s="8" t="s">
        <v>2694</v>
      </c>
      <c r="B477" s="8">
        <v>33</v>
      </c>
      <c r="C477" s="8">
        <v>300</v>
      </c>
      <c r="D477" s="8">
        <v>2300</v>
      </c>
      <c r="E477" s="2" t="s">
        <v>2695</v>
      </c>
      <c r="F477" s="10">
        <v>357.75</v>
      </c>
      <c r="G477" s="11">
        <f>(CV)*357.75</f>
        <v>357.75</v>
      </c>
    </row>
    <row r="478" spans="1:7" x14ac:dyDescent="0.2">
      <c r="A478" s="8" t="s">
        <v>4366</v>
      </c>
      <c r="B478" s="8">
        <v>33</v>
      </c>
      <c r="C478" s="8">
        <v>300</v>
      </c>
      <c r="D478" s="8">
        <v>2300</v>
      </c>
      <c r="E478" s="2" t="s">
        <v>4367</v>
      </c>
      <c r="F478" s="10">
        <v>357.75</v>
      </c>
      <c r="G478" s="11">
        <f>(CV)*357.75</f>
        <v>357.75</v>
      </c>
    </row>
    <row r="479" spans="1:7" x14ac:dyDescent="0.2">
      <c r="A479" s="8" t="s">
        <v>2696</v>
      </c>
      <c r="B479" s="8">
        <v>33</v>
      </c>
      <c r="C479" s="8">
        <v>300</v>
      </c>
      <c r="D479" s="8">
        <v>2600</v>
      </c>
      <c r="E479" s="2" t="s">
        <v>2697</v>
      </c>
      <c r="F479" s="10">
        <v>389.48</v>
      </c>
      <c r="G479" s="11">
        <f>(CV)*389.48</f>
        <v>389.48</v>
      </c>
    </row>
    <row r="480" spans="1:7" x14ac:dyDescent="0.2">
      <c r="A480" s="8" t="s">
        <v>4368</v>
      </c>
      <c r="B480" s="8">
        <v>33</v>
      </c>
      <c r="C480" s="8">
        <v>300</v>
      </c>
      <c r="D480" s="8">
        <v>2600</v>
      </c>
      <c r="E480" s="2" t="s">
        <v>4369</v>
      </c>
      <c r="F480" s="10">
        <v>389.48</v>
      </c>
      <c r="G480" s="11">
        <f>(CV)*389.48</f>
        <v>389.48</v>
      </c>
    </row>
    <row r="481" spans="1:7" x14ac:dyDescent="0.2">
      <c r="A481" s="8" t="s">
        <v>2698</v>
      </c>
      <c r="B481" s="8">
        <v>33</v>
      </c>
      <c r="C481" s="8">
        <v>300</v>
      </c>
      <c r="D481" s="8">
        <v>3000</v>
      </c>
      <c r="E481" s="2" t="s">
        <v>2699</v>
      </c>
      <c r="F481" s="10">
        <v>422.27</v>
      </c>
      <c r="G481" s="11">
        <f>(CV)*422.27</f>
        <v>422.27</v>
      </c>
    </row>
    <row r="482" spans="1:7" x14ac:dyDescent="0.2">
      <c r="A482" s="8" t="s">
        <v>4370</v>
      </c>
      <c r="B482" s="8">
        <v>33</v>
      </c>
      <c r="C482" s="8">
        <v>300</v>
      </c>
      <c r="D482" s="8">
        <v>3000</v>
      </c>
      <c r="E482" s="2" t="s">
        <v>4371</v>
      </c>
      <c r="F482" s="10">
        <v>422.27</v>
      </c>
      <c r="G482" s="11">
        <f>(CV)*422.27</f>
        <v>422.27</v>
      </c>
    </row>
    <row r="483" spans="1:7" x14ac:dyDescent="0.2">
      <c r="A483" s="8" t="s">
        <v>2700</v>
      </c>
      <c r="B483" s="8">
        <v>33</v>
      </c>
      <c r="C483" s="8">
        <v>400</v>
      </c>
      <c r="D483" s="8">
        <v>400</v>
      </c>
      <c r="E483" s="2" t="s">
        <v>2701</v>
      </c>
      <c r="F483" s="10">
        <v>168.12</v>
      </c>
      <c r="G483" s="11">
        <f>(CV)*168.12</f>
        <v>168.12</v>
      </c>
    </row>
    <row r="484" spans="1:7" x14ac:dyDescent="0.2">
      <c r="A484" s="8" t="s">
        <v>4372</v>
      </c>
      <c r="B484" s="8">
        <v>33</v>
      </c>
      <c r="C484" s="8">
        <v>400</v>
      </c>
      <c r="D484" s="8">
        <v>400</v>
      </c>
      <c r="E484" s="2" t="s">
        <v>4373</v>
      </c>
      <c r="F484" s="10">
        <v>168.12</v>
      </c>
      <c r="G484" s="11">
        <f>(CV)*168.12</f>
        <v>168.12</v>
      </c>
    </row>
    <row r="485" spans="1:7" x14ac:dyDescent="0.2">
      <c r="A485" s="8" t="s">
        <v>2702</v>
      </c>
      <c r="B485" s="8">
        <v>33</v>
      </c>
      <c r="C485" s="8">
        <v>400</v>
      </c>
      <c r="D485" s="8">
        <v>500</v>
      </c>
      <c r="E485" s="2" t="s">
        <v>2703</v>
      </c>
      <c r="F485" s="10">
        <v>177.93</v>
      </c>
      <c r="G485" s="11">
        <f>(CV)*177.93</f>
        <v>177.93</v>
      </c>
    </row>
    <row r="486" spans="1:7" x14ac:dyDescent="0.2">
      <c r="A486" s="8" t="s">
        <v>4374</v>
      </c>
      <c r="B486" s="8">
        <v>33</v>
      </c>
      <c r="C486" s="8">
        <v>400</v>
      </c>
      <c r="D486" s="8">
        <v>500</v>
      </c>
      <c r="E486" s="2" t="s">
        <v>4375</v>
      </c>
      <c r="F486" s="10">
        <v>177.93</v>
      </c>
      <c r="G486" s="11">
        <f>(CV)*177.93</f>
        <v>177.93</v>
      </c>
    </row>
    <row r="487" spans="1:7" x14ac:dyDescent="0.2">
      <c r="A487" s="8" t="s">
        <v>2704</v>
      </c>
      <c r="B487" s="8">
        <v>33</v>
      </c>
      <c r="C487" s="8">
        <v>400</v>
      </c>
      <c r="D487" s="8">
        <v>600</v>
      </c>
      <c r="E487" s="2" t="s">
        <v>2705</v>
      </c>
      <c r="F487" s="10">
        <v>188.64</v>
      </c>
      <c r="G487" s="11">
        <f>(CV)*188.64</f>
        <v>188.64</v>
      </c>
    </row>
    <row r="488" spans="1:7" x14ac:dyDescent="0.2">
      <c r="A488" s="8" t="s">
        <v>4376</v>
      </c>
      <c r="B488" s="8">
        <v>33</v>
      </c>
      <c r="C488" s="8">
        <v>400</v>
      </c>
      <c r="D488" s="8">
        <v>600</v>
      </c>
      <c r="E488" s="2" t="s">
        <v>4377</v>
      </c>
      <c r="F488" s="10">
        <v>188.64</v>
      </c>
      <c r="G488" s="11">
        <f>(CV)*188.64</f>
        <v>188.64</v>
      </c>
    </row>
    <row r="489" spans="1:7" x14ac:dyDescent="0.2">
      <c r="A489" s="8" t="s">
        <v>2706</v>
      </c>
      <c r="B489" s="8">
        <v>33</v>
      </c>
      <c r="C489" s="8">
        <v>400</v>
      </c>
      <c r="D489" s="8">
        <v>700</v>
      </c>
      <c r="E489" s="2" t="s">
        <v>2707</v>
      </c>
      <c r="F489" s="10">
        <v>200.09</v>
      </c>
      <c r="G489" s="11">
        <f>(CV)*200.09</f>
        <v>200.09</v>
      </c>
    </row>
    <row r="490" spans="1:7" x14ac:dyDescent="0.2">
      <c r="A490" s="8" t="s">
        <v>4378</v>
      </c>
      <c r="B490" s="8">
        <v>33</v>
      </c>
      <c r="C490" s="8">
        <v>400</v>
      </c>
      <c r="D490" s="8">
        <v>700</v>
      </c>
      <c r="E490" s="2" t="s">
        <v>4379</v>
      </c>
      <c r="F490" s="10">
        <v>200.09</v>
      </c>
      <c r="G490" s="11">
        <f>(CV)*200.09</f>
        <v>200.09</v>
      </c>
    </row>
    <row r="491" spans="1:7" x14ac:dyDescent="0.2">
      <c r="A491" s="8" t="s">
        <v>2708</v>
      </c>
      <c r="B491" s="8">
        <v>33</v>
      </c>
      <c r="C491" s="8">
        <v>400</v>
      </c>
      <c r="D491" s="8">
        <v>800</v>
      </c>
      <c r="E491" s="2" t="s">
        <v>2709</v>
      </c>
      <c r="F491" s="10">
        <v>212.04</v>
      </c>
      <c r="G491" s="11">
        <f>(CV)*212.04</f>
        <v>212.04</v>
      </c>
    </row>
    <row r="492" spans="1:7" x14ac:dyDescent="0.2">
      <c r="A492" s="8" t="s">
        <v>4380</v>
      </c>
      <c r="B492" s="8">
        <v>33</v>
      </c>
      <c r="C492" s="8">
        <v>400</v>
      </c>
      <c r="D492" s="8">
        <v>800</v>
      </c>
      <c r="E492" s="2" t="s">
        <v>4381</v>
      </c>
      <c r="F492" s="10">
        <v>212.04</v>
      </c>
      <c r="G492" s="11">
        <f>(CV)*212.04</f>
        <v>212.04</v>
      </c>
    </row>
    <row r="493" spans="1:7" x14ac:dyDescent="0.2">
      <c r="A493" s="8" t="s">
        <v>2710</v>
      </c>
      <c r="B493" s="8">
        <v>33</v>
      </c>
      <c r="C493" s="8">
        <v>400</v>
      </c>
      <c r="D493" s="8">
        <v>900</v>
      </c>
      <c r="E493" s="2" t="s">
        <v>2711</v>
      </c>
      <c r="F493" s="10">
        <v>224.95</v>
      </c>
      <c r="G493" s="11">
        <f>(CV)*224.95</f>
        <v>224.95</v>
      </c>
    </row>
    <row r="494" spans="1:7" x14ac:dyDescent="0.2">
      <c r="A494" s="8" t="s">
        <v>4382</v>
      </c>
      <c r="B494" s="8">
        <v>33</v>
      </c>
      <c r="C494" s="8">
        <v>400</v>
      </c>
      <c r="D494" s="8">
        <v>900</v>
      </c>
      <c r="E494" s="2" t="s">
        <v>4383</v>
      </c>
      <c r="F494" s="10">
        <v>224.95</v>
      </c>
      <c r="G494" s="11">
        <f>(CV)*224.95</f>
        <v>224.95</v>
      </c>
    </row>
    <row r="495" spans="1:7" x14ac:dyDescent="0.2">
      <c r="A495" s="8" t="s">
        <v>2712</v>
      </c>
      <c r="B495" s="8">
        <v>33</v>
      </c>
      <c r="C495" s="8">
        <v>400</v>
      </c>
      <c r="D495" s="8">
        <v>1000</v>
      </c>
      <c r="E495" s="2" t="s">
        <v>2713</v>
      </c>
      <c r="F495" s="10">
        <v>237.71</v>
      </c>
      <c r="G495" s="11">
        <f>(CV)*237.71</f>
        <v>237.71</v>
      </c>
    </row>
    <row r="496" spans="1:7" x14ac:dyDescent="0.2">
      <c r="A496" s="8" t="s">
        <v>4384</v>
      </c>
      <c r="B496" s="8">
        <v>33</v>
      </c>
      <c r="C496" s="8">
        <v>400</v>
      </c>
      <c r="D496" s="8">
        <v>1000</v>
      </c>
      <c r="E496" s="2" t="s">
        <v>4385</v>
      </c>
      <c r="F496" s="10">
        <v>237.71</v>
      </c>
      <c r="G496" s="11">
        <f>(CV)*237.71</f>
        <v>237.71</v>
      </c>
    </row>
    <row r="497" spans="1:7" x14ac:dyDescent="0.2">
      <c r="A497" s="8" t="s">
        <v>2714</v>
      </c>
      <c r="B497" s="8">
        <v>33</v>
      </c>
      <c r="C497" s="8">
        <v>400</v>
      </c>
      <c r="D497" s="8">
        <v>1100</v>
      </c>
      <c r="E497" s="2" t="s">
        <v>2715</v>
      </c>
      <c r="F497" s="10">
        <v>250.95</v>
      </c>
      <c r="G497" s="11">
        <f>(CV)*250.95</f>
        <v>250.95</v>
      </c>
    </row>
    <row r="498" spans="1:7" x14ac:dyDescent="0.2">
      <c r="A498" s="8" t="s">
        <v>4386</v>
      </c>
      <c r="B498" s="8">
        <v>33</v>
      </c>
      <c r="C498" s="8">
        <v>400</v>
      </c>
      <c r="D498" s="8">
        <v>1100</v>
      </c>
      <c r="E498" s="2" t="s">
        <v>4387</v>
      </c>
      <c r="F498" s="10">
        <v>250.95</v>
      </c>
      <c r="G498" s="11">
        <f>(CV)*250.95</f>
        <v>250.95</v>
      </c>
    </row>
    <row r="499" spans="1:7" x14ac:dyDescent="0.2">
      <c r="A499" s="8" t="s">
        <v>2716</v>
      </c>
      <c r="B499" s="8">
        <v>33</v>
      </c>
      <c r="C499" s="8">
        <v>400</v>
      </c>
      <c r="D499" s="8">
        <v>1200</v>
      </c>
      <c r="E499" s="2" t="s">
        <v>2717</v>
      </c>
      <c r="F499" s="10">
        <v>264.37</v>
      </c>
      <c r="G499" s="11">
        <f>(CV)*264.37</f>
        <v>264.37</v>
      </c>
    </row>
    <row r="500" spans="1:7" x14ac:dyDescent="0.2">
      <c r="A500" s="8" t="s">
        <v>4388</v>
      </c>
      <c r="B500" s="8">
        <v>33</v>
      </c>
      <c r="C500" s="8">
        <v>400</v>
      </c>
      <c r="D500" s="8">
        <v>1200</v>
      </c>
      <c r="E500" s="2" t="s">
        <v>4389</v>
      </c>
      <c r="F500" s="10">
        <v>264.37</v>
      </c>
      <c r="G500" s="11">
        <f>(CV)*264.37</f>
        <v>264.37</v>
      </c>
    </row>
    <row r="501" spans="1:7" x14ac:dyDescent="0.2">
      <c r="A501" s="8" t="s">
        <v>2718</v>
      </c>
      <c r="B501" s="8">
        <v>33</v>
      </c>
      <c r="C501" s="8">
        <v>400</v>
      </c>
      <c r="D501" s="8">
        <v>1400</v>
      </c>
      <c r="E501" s="2" t="s">
        <v>2719</v>
      </c>
      <c r="F501" s="10">
        <v>290.14</v>
      </c>
      <c r="G501" s="11">
        <f>(CV)*290.14</f>
        <v>290.14</v>
      </c>
    </row>
    <row r="502" spans="1:7" x14ac:dyDescent="0.2">
      <c r="A502" s="8" t="s">
        <v>4390</v>
      </c>
      <c r="B502" s="8">
        <v>33</v>
      </c>
      <c r="C502" s="8">
        <v>400</v>
      </c>
      <c r="D502" s="8">
        <v>1400</v>
      </c>
      <c r="E502" s="2" t="s">
        <v>4391</v>
      </c>
      <c r="F502" s="10">
        <v>290.14</v>
      </c>
      <c r="G502" s="11">
        <f>(CV)*290.14</f>
        <v>290.14</v>
      </c>
    </row>
    <row r="503" spans="1:7" x14ac:dyDescent="0.2">
      <c r="A503" s="8" t="s">
        <v>2720</v>
      </c>
      <c r="B503" s="8">
        <v>33</v>
      </c>
      <c r="C503" s="8">
        <v>400</v>
      </c>
      <c r="D503" s="8">
        <v>1600</v>
      </c>
      <c r="E503" s="2" t="s">
        <v>2721</v>
      </c>
      <c r="F503" s="10">
        <v>315.97000000000003</v>
      </c>
      <c r="G503" s="11">
        <f>(CV)*315.97</f>
        <v>315.97000000000003</v>
      </c>
    </row>
    <row r="504" spans="1:7" x14ac:dyDescent="0.2">
      <c r="A504" s="8" t="s">
        <v>4392</v>
      </c>
      <c r="B504" s="8">
        <v>33</v>
      </c>
      <c r="C504" s="8">
        <v>400</v>
      </c>
      <c r="D504" s="8">
        <v>1600</v>
      </c>
      <c r="E504" s="2" t="s">
        <v>4393</v>
      </c>
      <c r="F504" s="10">
        <v>315.97000000000003</v>
      </c>
      <c r="G504" s="11">
        <f>(CV)*315.97</f>
        <v>315.97000000000003</v>
      </c>
    </row>
    <row r="505" spans="1:7" x14ac:dyDescent="0.2">
      <c r="A505" s="8" t="s">
        <v>2722</v>
      </c>
      <c r="B505" s="8">
        <v>33</v>
      </c>
      <c r="C505" s="8">
        <v>400</v>
      </c>
      <c r="D505" s="8">
        <v>1800</v>
      </c>
      <c r="E505" s="2" t="s">
        <v>2723</v>
      </c>
      <c r="F505" s="10">
        <v>342.22</v>
      </c>
      <c r="G505" s="11">
        <f>(CV)*342.22</f>
        <v>342.22</v>
      </c>
    </row>
    <row r="506" spans="1:7" x14ac:dyDescent="0.2">
      <c r="A506" s="8" t="s">
        <v>4394</v>
      </c>
      <c r="B506" s="8">
        <v>33</v>
      </c>
      <c r="C506" s="8">
        <v>400</v>
      </c>
      <c r="D506" s="8">
        <v>1800</v>
      </c>
      <c r="E506" s="2" t="s">
        <v>4395</v>
      </c>
      <c r="F506" s="10">
        <v>342.22</v>
      </c>
      <c r="G506" s="11">
        <f>(CV)*342.22</f>
        <v>342.22</v>
      </c>
    </row>
    <row r="507" spans="1:7" x14ac:dyDescent="0.2">
      <c r="A507" s="8" t="s">
        <v>2724</v>
      </c>
      <c r="B507" s="8">
        <v>33</v>
      </c>
      <c r="C507" s="8">
        <v>400</v>
      </c>
      <c r="D507" s="8">
        <v>2000</v>
      </c>
      <c r="E507" s="2" t="s">
        <v>2725</v>
      </c>
      <c r="F507" s="10">
        <v>368.14</v>
      </c>
      <c r="G507" s="11">
        <f>(CV)*368.14</f>
        <v>368.14</v>
      </c>
    </row>
    <row r="508" spans="1:7" x14ac:dyDescent="0.2">
      <c r="A508" s="8" t="s">
        <v>4396</v>
      </c>
      <c r="B508" s="8">
        <v>33</v>
      </c>
      <c r="C508" s="8">
        <v>400</v>
      </c>
      <c r="D508" s="8">
        <v>2000</v>
      </c>
      <c r="E508" s="2" t="s">
        <v>4397</v>
      </c>
      <c r="F508" s="10">
        <v>368.14</v>
      </c>
      <c r="G508" s="11">
        <f>(CV)*368.14</f>
        <v>368.14</v>
      </c>
    </row>
    <row r="509" spans="1:7" x14ac:dyDescent="0.2">
      <c r="A509" s="8" t="s">
        <v>2726</v>
      </c>
      <c r="B509" s="8">
        <v>33</v>
      </c>
      <c r="C509" s="8">
        <v>400</v>
      </c>
      <c r="D509" s="8">
        <v>2300</v>
      </c>
      <c r="E509" s="2" t="s">
        <v>2727</v>
      </c>
      <c r="F509" s="10">
        <v>407.47</v>
      </c>
      <c r="G509" s="11">
        <f>(CV)*407.47</f>
        <v>407.47</v>
      </c>
    </row>
    <row r="510" spans="1:7" x14ac:dyDescent="0.2">
      <c r="A510" s="8" t="s">
        <v>4398</v>
      </c>
      <c r="B510" s="8">
        <v>33</v>
      </c>
      <c r="C510" s="8">
        <v>400</v>
      </c>
      <c r="D510" s="8">
        <v>2300</v>
      </c>
      <c r="E510" s="2" t="s">
        <v>4399</v>
      </c>
      <c r="F510" s="10">
        <v>407.47</v>
      </c>
      <c r="G510" s="11">
        <f>(CV)*407.47</f>
        <v>407.47</v>
      </c>
    </row>
    <row r="511" spans="1:7" x14ac:dyDescent="0.2">
      <c r="A511" s="8" t="s">
        <v>2728</v>
      </c>
      <c r="B511" s="8">
        <v>33</v>
      </c>
      <c r="C511" s="8">
        <v>400</v>
      </c>
      <c r="D511" s="8">
        <v>2600</v>
      </c>
      <c r="E511" s="2" t="s">
        <v>2729</v>
      </c>
      <c r="F511" s="10">
        <v>446.24</v>
      </c>
      <c r="G511" s="11">
        <f>(CV)*446.24</f>
        <v>446.24</v>
      </c>
    </row>
    <row r="512" spans="1:7" x14ac:dyDescent="0.2">
      <c r="A512" s="8" t="s">
        <v>4400</v>
      </c>
      <c r="B512" s="8">
        <v>33</v>
      </c>
      <c r="C512" s="8">
        <v>400</v>
      </c>
      <c r="D512" s="8">
        <v>2600</v>
      </c>
      <c r="E512" s="2" t="s">
        <v>4401</v>
      </c>
      <c r="F512" s="10">
        <v>446.24</v>
      </c>
      <c r="G512" s="11">
        <f>(CV)*446.24</f>
        <v>446.24</v>
      </c>
    </row>
    <row r="513" spans="1:7" x14ac:dyDescent="0.2">
      <c r="A513" s="8" t="s">
        <v>2730</v>
      </c>
      <c r="B513" s="8">
        <v>33</v>
      </c>
      <c r="C513" s="8">
        <v>400</v>
      </c>
      <c r="D513" s="8">
        <v>3000</v>
      </c>
      <c r="E513" s="2" t="s">
        <v>2731</v>
      </c>
      <c r="F513" s="10">
        <v>488.26</v>
      </c>
      <c r="G513" s="11">
        <f>(CV)*488.26</f>
        <v>488.26</v>
      </c>
    </row>
    <row r="514" spans="1:7" x14ac:dyDescent="0.2">
      <c r="A514" s="8" t="s">
        <v>4402</v>
      </c>
      <c r="B514" s="8">
        <v>33</v>
      </c>
      <c r="C514" s="8">
        <v>400</v>
      </c>
      <c r="D514" s="8">
        <v>3000</v>
      </c>
      <c r="E514" s="2" t="s">
        <v>4403</v>
      </c>
      <c r="F514" s="10">
        <v>488.26</v>
      </c>
      <c r="G514" s="11">
        <f>(CV)*488.26</f>
        <v>488.26</v>
      </c>
    </row>
    <row r="515" spans="1:7" x14ac:dyDescent="0.2">
      <c r="A515" s="8" t="s">
        <v>2732</v>
      </c>
      <c r="B515" s="8">
        <v>33</v>
      </c>
      <c r="C515" s="8">
        <v>450</v>
      </c>
      <c r="D515" s="8">
        <v>400</v>
      </c>
      <c r="E515" s="2" t="s">
        <v>2733</v>
      </c>
      <c r="F515" s="10">
        <v>175.89</v>
      </c>
      <c r="G515" s="11">
        <f>(CV)*175.89</f>
        <v>175.89</v>
      </c>
    </row>
    <row r="516" spans="1:7" x14ac:dyDescent="0.2">
      <c r="A516" s="8" t="s">
        <v>4404</v>
      </c>
      <c r="B516" s="8">
        <v>33</v>
      </c>
      <c r="C516" s="8">
        <v>450</v>
      </c>
      <c r="D516" s="8">
        <v>400</v>
      </c>
      <c r="E516" s="2" t="s">
        <v>4405</v>
      </c>
      <c r="F516" s="10">
        <v>175.89</v>
      </c>
      <c r="G516" s="11">
        <f>(CV)*175.89</f>
        <v>175.89</v>
      </c>
    </row>
    <row r="517" spans="1:7" x14ac:dyDescent="0.2">
      <c r="A517" s="8" t="s">
        <v>2734</v>
      </c>
      <c r="B517" s="8">
        <v>33</v>
      </c>
      <c r="C517" s="8">
        <v>450</v>
      </c>
      <c r="D517" s="8">
        <v>500</v>
      </c>
      <c r="E517" s="2" t="s">
        <v>2735</v>
      </c>
      <c r="F517" s="10">
        <v>186.78</v>
      </c>
      <c r="G517" s="11">
        <f>(CV)*186.78</f>
        <v>186.78</v>
      </c>
    </row>
    <row r="518" spans="1:7" x14ac:dyDescent="0.2">
      <c r="A518" s="8" t="s">
        <v>4406</v>
      </c>
      <c r="B518" s="8">
        <v>33</v>
      </c>
      <c r="C518" s="8">
        <v>450</v>
      </c>
      <c r="D518" s="8">
        <v>500</v>
      </c>
      <c r="E518" s="2" t="s">
        <v>4407</v>
      </c>
      <c r="F518" s="10">
        <v>186.78</v>
      </c>
      <c r="G518" s="11">
        <f>(CV)*186.78</f>
        <v>186.78</v>
      </c>
    </row>
    <row r="519" spans="1:7" x14ac:dyDescent="0.2">
      <c r="A519" s="8" t="s">
        <v>2736</v>
      </c>
      <c r="B519" s="8">
        <v>33</v>
      </c>
      <c r="C519" s="8">
        <v>450</v>
      </c>
      <c r="D519" s="8">
        <v>600</v>
      </c>
      <c r="E519" s="2" t="s">
        <v>2737</v>
      </c>
      <c r="F519" s="10">
        <v>198.62</v>
      </c>
      <c r="G519" s="11">
        <f>(CV)*198.62</f>
        <v>198.62</v>
      </c>
    </row>
    <row r="520" spans="1:7" x14ac:dyDescent="0.2">
      <c r="A520" s="8" t="s">
        <v>4408</v>
      </c>
      <c r="B520" s="8">
        <v>33</v>
      </c>
      <c r="C520" s="8">
        <v>450</v>
      </c>
      <c r="D520" s="8">
        <v>600</v>
      </c>
      <c r="E520" s="2" t="s">
        <v>4409</v>
      </c>
      <c r="F520" s="10">
        <v>198.62</v>
      </c>
      <c r="G520" s="11">
        <f>(CV)*198.62</f>
        <v>198.62</v>
      </c>
    </row>
    <row r="521" spans="1:7" x14ac:dyDescent="0.2">
      <c r="A521" s="8" t="s">
        <v>2738</v>
      </c>
      <c r="B521" s="8">
        <v>33</v>
      </c>
      <c r="C521" s="8">
        <v>450</v>
      </c>
      <c r="D521" s="8">
        <v>700</v>
      </c>
      <c r="E521" s="2" t="s">
        <v>2739</v>
      </c>
      <c r="F521" s="10">
        <v>210.99</v>
      </c>
      <c r="G521" s="11">
        <f>(CV)*210.99</f>
        <v>210.99</v>
      </c>
    </row>
    <row r="522" spans="1:7" x14ac:dyDescent="0.2">
      <c r="A522" s="8" t="s">
        <v>4410</v>
      </c>
      <c r="B522" s="8">
        <v>33</v>
      </c>
      <c r="C522" s="8">
        <v>450</v>
      </c>
      <c r="D522" s="8">
        <v>700</v>
      </c>
      <c r="E522" s="2" t="s">
        <v>4411</v>
      </c>
      <c r="F522" s="10">
        <v>210.99</v>
      </c>
      <c r="G522" s="11">
        <f>(CV)*210.99</f>
        <v>210.99</v>
      </c>
    </row>
    <row r="523" spans="1:7" x14ac:dyDescent="0.2">
      <c r="A523" s="8" t="s">
        <v>2740</v>
      </c>
      <c r="B523" s="8">
        <v>33</v>
      </c>
      <c r="C523" s="8">
        <v>450</v>
      </c>
      <c r="D523" s="8">
        <v>800</v>
      </c>
      <c r="E523" s="2" t="s">
        <v>2741</v>
      </c>
      <c r="F523" s="10">
        <v>224.26</v>
      </c>
      <c r="G523" s="11">
        <f>(CV)*224.26</f>
        <v>224.26</v>
      </c>
    </row>
    <row r="524" spans="1:7" x14ac:dyDescent="0.2">
      <c r="A524" s="8" t="s">
        <v>4412</v>
      </c>
      <c r="B524" s="8">
        <v>33</v>
      </c>
      <c r="C524" s="8">
        <v>450</v>
      </c>
      <c r="D524" s="8">
        <v>800</v>
      </c>
      <c r="E524" s="2" t="s">
        <v>4413</v>
      </c>
      <c r="F524" s="10">
        <v>224.26</v>
      </c>
      <c r="G524" s="11">
        <f>(CV)*224.26</f>
        <v>224.26</v>
      </c>
    </row>
    <row r="525" spans="1:7" x14ac:dyDescent="0.2">
      <c r="A525" s="8" t="s">
        <v>2742</v>
      </c>
      <c r="B525" s="8">
        <v>33</v>
      </c>
      <c r="C525" s="8">
        <v>450</v>
      </c>
      <c r="D525" s="8">
        <v>900</v>
      </c>
      <c r="E525" s="2" t="s">
        <v>2743</v>
      </c>
      <c r="F525" s="10">
        <v>238.68</v>
      </c>
      <c r="G525" s="11">
        <f>(CV)*238.68</f>
        <v>238.68</v>
      </c>
    </row>
    <row r="526" spans="1:7" x14ac:dyDescent="0.2">
      <c r="A526" s="8" t="s">
        <v>4414</v>
      </c>
      <c r="B526" s="8">
        <v>33</v>
      </c>
      <c r="C526" s="8">
        <v>450</v>
      </c>
      <c r="D526" s="8">
        <v>900</v>
      </c>
      <c r="E526" s="2" t="s">
        <v>4415</v>
      </c>
      <c r="F526" s="10">
        <v>238.68</v>
      </c>
      <c r="G526" s="11">
        <f>(CV)*238.68</f>
        <v>238.68</v>
      </c>
    </row>
    <row r="527" spans="1:7" x14ac:dyDescent="0.2">
      <c r="A527" s="8" t="s">
        <v>2744</v>
      </c>
      <c r="B527" s="8">
        <v>33</v>
      </c>
      <c r="C527" s="8">
        <v>450</v>
      </c>
      <c r="D527" s="8">
        <v>1000</v>
      </c>
      <c r="E527" s="2" t="s">
        <v>2745</v>
      </c>
      <c r="F527" s="10">
        <v>252.67</v>
      </c>
      <c r="G527" s="11">
        <f>(CV)*252.67</f>
        <v>252.67</v>
      </c>
    </row>
    <row r="528" spans="1:7" x14ac:dyDescent="0.2">
      <c r="A528" s="8" t="s">
        <v>4416</v>
      </c>
      <c r="B528" s="8">
        <v>33</v>
      </c>
      <c r="C528" s="8">
        <v>450</v>
      </c>
      <c r="D528" s="8">
        <v>1000</v>
      </c>
      <c r="E528" s="2" t="s">
        <v>4417</v>
      </c>
      <c r="F528" s="10">
        <v>252.67</v>
      </c>
      <c r="G528" s="11">
        <f>(CV)*252.67</f>
        <v>252.67</v>
      </c>
    </row>
    <row r="529" spans="1:7" x14ac:dyDescent="0.2">
      <c r="A529" s="8" t="s">
        <v>2746</v>
      </c>
      <c r="B529" s="8">
        <v>33</v>
      </c>
      <c r="C529" s="8">
        <v>450</v>
      </c>
      <c r="D529" s="8">
        <v>1100</v>
      </c>
      <c r="E529" s="2" t="s">
        <v>2747</v>
      </c>
      <c r="F529" s="10">
        <v>267.08999999999997</v>
      </c>
      <c r="G529" s="11">
        <f>(CV)*267.09</f>
        <v>267.08999999999997</v>
      </c>
    </row>
    <row r="530" spans="1:7" x14ac:dyDescent="0.2">
      <c r="A530" s="8" t="s">
        <v>4418</v>
      </c>
      <c r="B530" s="8">
        <v>33</v>
      </c>
      <c r="C530" s="8">
        <v>450</v>
      </c>
      <c r="D530" s="8">
        <v>1100</v>
      </c>
      <c r="E530" s="2" t="s">
        <v>4419</v>
      </c>
      <c r="F530" s="10">
        <v>267.08999999999997</v>
      </c>
      <c r="G530" s="11">
        <f>(CV)*267.09</f>
        <v>267.08999999999997</v>
      </c>
    </row>
    <row r="531" spans="1:7" x14ac:dyDescent="0.2">
      <c r="A531" s="8" t="s">
        <v>2748</v>
      </c>
      <c r="B531" s="8">
        <v>33</v>
      </c>
      <c r="C531" s="8">
        <v>450</v>
      </c>
      <c r="D531" s="8">
        <v>1200</v>
      </c>
      <c r="E531" s="2" t="s">
        <v>2749</v>
      </c>
      <c r="F531" s="10">
        <v>281.36</v>
      </c>
      <c r="G531" s="11">
        <f>(CV)*281.36</f>
        <v>281.36</v>
      </c>
    </row>
    <row r="532" spans="1:7" x14ac:dyDescent="0.2">
      <c r="A532" s="8" t="s">
        <v>4420</v>
      </c>
      <c r="B532" s="8">
        <v>33</v>
      </c>
      <c r="C532" s="8">
        <v>450</v>
      </c>
      <c r="D532" s="8">
        <v>1200</v>
      </c>
      <c r="E532" s="2" t="s">
        <v>4421</v>
      </c>
      <c r="F532" s="10">
        <v>281.36</v>
      </c>
      <c r="G532" s="11">
        <f>(CV)*281.36</f>
        <v>281.36</v>
      </c>
    </row>
    <row r="533" spans="1:7" x14ac:dyDescent="0.2">
      <c r="A533" s="8" t="s">
        <v>2750</v>
      </c>
      <c r="B533" s="8">
        <v>33</v>
      </c>
      <c r="C533" s="8">
        <v>450</v>
      </c>
      <c r="D533" s="8">
        <v>1400</v>
      </c>
      <c r="E533" s="2" t="s">
        <v>2751</v>
      </c>
      <c r="F533" s="10">
        <v>309.57</v>
      </c>
      <c r="G533" s="11">
        <f>(CV)*309.57</f>
        <v>309.57</v>
      </c>
    </row>
    <row r="534" spans="1:7" x14ac:dyDescent="0.2">
      <c r="A534" s="8" t="s">
        <v>4422</v>
      </c>
      <c r="B534" s="8">
        <v>33</v>
      </c>
      <c r="C534" s="8">
        <v>450</v>
      </c>
      <c r="D534" s="8">
        <v>1400</v>
      </c>
      <c r="E534" s="2" t="s">
        <v>4423</v>
      </c>
      <c r="F534" s="10">
        <v>309.57</v>
      </c>
      <c r="G534" s="11">
        <f>(CV)*309.57</f>
        <v>309.57</v>
      </c>
    </row>
    <row r="535" spans="1:7" x14ac:dyDescent="0.2">
      <c r="A535" s="8" t="s">
        <v>2752</v>
      </c>
      <c r="B535" s="8">
        <v>33</v>
      </c>
      <c r="C535" s="8">
        <v>450</v>
      </c>
      <c r="D535" s="8">
        <v>1600</v>
      </c>
      <c r="E535" s="2" t="s">
        <v>2753</v>
      </c>
      <c r="F535" s="10">
        <v>337.98</v>
      </c>
      <c r="G535" s="11">
        <f>(CV)*337.98</f>
        <v>337.98</v>
      </c>
    </row>
    <row r="536" spans="1:7" x14ac:dyDescent="0.2">
      <c r="A536" s="8" t="s">
        <v>4424</v>
      </c>
      <c r="B536" s="8">
        <v>33</v>
      </c>
      <c r="C536" s="8">
        <v>450</v>
      </c>
      <c r="D536" s="8">
        <v>1600</v>
      </c>
      <c r="E536" s="2" t="s">
        <v>4425</v>
      </c>
      <c r="F536" s="10">
        <v>337.98</v>
      </c>
      <c r="G536" s="11">
        <f>(CV)*337.98</f>
        <v>337.98</v>
      </c>
    </row>
    <row r="537" spans="1:7" x14ac:dyDescent="0.2">
      <c r="A537" s="8" t="s">
        <v>2754</v>
      </c>
      <c r="B537" s="8">
        <v>33</v>
      </c>
      <c r="C537" s="8">
        <v>450</v>
      </c>
      <c r="D537" s="8">
        <v>1800</v>
      </c>
      <c r="E537" s="2" t="s">
        <v>2755</v>
      </c>
      <c r="F537" s="10">
        <v>366.62</v>
      </c>
      <c r="G537" s="11">
        <f>(CV)*366.62</f>
        <v>366.62</v>
      </c>
    </row>
    <row r="538" spans="1:7" x14ac:dyDescent="0.2">
      <c r="A538" s="8" t="s">
        <v>4426</v>
      </c>
      <c r="B538" s="8">
        <v>33</v>
      </c>
      <c r="C538" s="8">
        <v>450</v>
      </c>
      <c r="D538" s="8">
        <v>1800</v>
      </c>
      <c r="E538" s="2" t="s">
        <v>4427</v>
      </c>
      <c r="F538" s="10">
        <v>366.62</v>
      </c>
      <c r="G538" s="11">
        <f>(CV)*366.62</f>
        <v>366.62</v>
      </c>
    </row>
    <row r="539" spans="1:7" x14ac:dyDescent="0.2">
      <c r="A539" s="8" t="s">
        <v>2756</v>
      </c>
      <c r="B539" s="8">
        <v>33</v>
      </c>
      <c r="C539" s="8">
        <v>450</v>
      </c>
      <c r="D539" s="8">
        <v>2000</v>
      </c>
      <c r="E539" s="2" t="s">
        <v>2757</v>
      </c>
      <c r="F539" s="10">
        <v>395.12</v>
      </c>
      <c r="G539" s="11">
        <f>(CV)*395.12</f>
        <v>395.12</v>
      </c>
    </row>
    <row r="540" spans="1:7" x14ac:dyDescent="0.2">
      <c r="A540" s="8" t="s">
        <v>4428</v>
      </c>
      <c r="B540" s="8">
        <v>33</v>
      </c>
      <c r="C540" s="8">
        <v>450</v>
      </c>
      <c r="D540" s="8">
        <v>2000</v>
      </c>
      <c r="E540" s="2" t="s">
        <v>4429</v>
      </c>
      <c r="F540" s="10">
        <v>395.12</v>
      </c>
      <c r="G540" s="11">
        <f>(CV)*395.12</f>
        <v>395.12</v>
      </c>
    </row>
    <row r="541" spans="1:7" x14ac:dyDescent="0.2">
      <c r="A541" s="8" t="s">
        <v>2758</v>
      </c>
      <c r="B541" s="8">
        <v>33</v>
      </c>
      <c r="C541" s="8">
        <v>450</v>
      </c>
      <c r="D541" s="8">
        <v>2300</v>
      </c>
      <c r="E541" s="2" t="s">
        <v>2759</v>
      </c>
      <c r="F541" s="10">
        <v>437.86</v>
      </c>
      <c r="G541" s="11">
        <f>(CV)*437.86</f>
        <v>437.86</v>
      </c>
    </row>
    <row r="542" spans="1:7" x14ac:dyDescent="0.2">
      <c r="A542" s="8" t="s">
        <v>4430</v>
      </c>
      <c r="B542" s="8">
        <v>33</v>
      </c>
      <c r="C542" s="8">
        <v>450</v>
      </c>
      <c r="D542" s="8">
        <v>2300</v>
      </c>
      <c r="E542" s="2" t="s">
        <v>4431</v>
      </c>
      <c r="F542" s="10">
        <v>437.86</v>
      </c>
      <c r="G542" s="11">
        <f>(CV)*437.86</f>
        <v>437.86</v>
      </c>
    </row>
    <row r="543" spans="1:7" x14ac:dyDescent="0.2">
      <c r="A543" s="8" t="s">
        <v>2760</v>
      </c>
      <c r="B543" s="8">
        <v>33</v>
      </c>
      <c r="C543" s="8">
        <v>450</v>
      </c>
      <c r="D543" s="8">
        <v>2600</v>
      </c>
      <c r="E543" s="2" t="s">
        <v>2761</v>
      </c>
      <c r="F543" s="10">
        <v>480.27</v>
      </c>
      <c r="G543" s="11">
        <f>(CV)*480.27</f>
        <v>480.27</v>
      </c>
    </row>
    <row r="544" spans="1:7" x14ac:dyDescent="0.2">
      <c r="A544" s="8" t="s">
        <v>4432</v>
      </c>
      <c r="B544" s="8">
        <v>33</v>
      </c>
      <c r="C544" s="8">
        <v>450</v>
      </c>
      <c r="D544" s="8">
        <v>2600</v>
      </c>
      <c r="E544" s="2" t="s">
        <v>4433</v>
      </c>
      <c r="F544" s="10">
        <v>480.27</v>
      </c>
      <c r="G544" s="11">
        <f>(CV)*480.27</f>
        <v>480.27</v>
      </c>
    </row>
    <row r="545" spans="1:7" x14ac:dyDescent="0.2">
      <c r="A545" s="8" t="s">
        <v>2762</v>
      </c>
      <c r="B545" s="8">
        <v>33</v>
      </c>
      <c r="C545" s="8">
        <v>450</v>
      </c>
      <c r="D545" s="8">
        <v>3000</v>
      </c>
      <c r="E545" s="2" t="s">
        <v>2763</v>
      </c>
      <c r="F545" s="10">
        <v>526.87</v>
      </c>
      <c r="G545" s="11">
        <f>(CV)*526.87</f>
        <v>526.87</v>
      </c>
    </row>
    <row r="546" spans="1:7" x14ac:dyDescent="0.2">
      <c r="A546" s="8" t="s">
        <v>4434</v>
      </c>
      <c r="B546" s="8">
        <v>33</v>
      </c>
      <c r="C546" s="8">
        <v>450</v>
      </c>
      <c r="D546" s="8">
        <v>3000</v>
      </c>
      <c r="E546" s="2" t="s">
        <v>4435</v>
      </c>
      <c r="F546" s="10">
        <v>526.87</v>
      </c>
      <c r="G546" s="11">
        <f>(CV)*526.87</f>
        <v>526.87</v>
      </c>
    </row>
    <row r="547" spans="1:7" x14ac:dyDescent="0.2">
      <c r="A547" s="8" t="s">
        <v>2764</v>
      </c>
      <c r="B547" s="8">
        <v>33</v>
      </c>
      <c r="C547" s="8">
        <v>500</v>
      </c>
      <c r="D547" s="8">
        <v>400</v>
      </c>
      <c r="E547" s="2" t="s">
        <v>2765</v>
      </c>
      <c r="F547" s="10">
        <v>188.64</v>
      </c>
      <c r="G547" s="11">
        <f>(CV)*188.64</f>
        <v>188.64</v>
      </c>
    </row>
    <row r="548" spans="1:7" x14ac:dyDescent="0.2">
      <c r="A548" s="8" t="s">
        <v>4436</v>
      </c>
      <c r="B548" s="8">
        <v>33</v>
      </c>
      <c r="C548" s="8">
        <v>500</v>
      </c>
      <c r="D548" s="8">
        <v>400</v>
      </c>
      <c r="E548" s="2" t="s">
        <v>4437</v>
      </c>
      <c r="F548" s="10">
        <v>188.64</v>
      </c>
      <c r="G548" s="11">
        <f>(CV)*188.64</f>
        <v>188.64</v>
      </c>
    </row>
    <row r="549" spans="1:7" x14ac:dyDescent="0.2">
      <c r="A549" s="8" t="s">
        <v>2766</v>
      </c>
      <c r="B549" s="8">
        <v>33</v>
      </c>
      <c r="C549" s="8">
        <v>500</v>
      </c>
      <c r="D549" s="8">
        <v>500</v>
      </c>
      <c r="E549" s="2" t="s">
        <v>2767</v>
      </c>
      <c r="F549" s="10">
        <v>201.09</v>
      </c>
      <c r="G549" s="11">
        <f>(CV)*201.09</f>
        <v>201.09</v>
      </c>
    </row>
    <row r="550" spans="1:7" x14ac:dyDescent="0.2">
      <c r="A550" s="8" t="s">
        <v>4438</v>
      </c>
      <c r="B550" s="8">
        <v>33</v>
      </c>
      <c r="C550" s="8">
        <v>500</v>
      </c>
      <c r="D550" s="8">
        <v>500</v>
      </c>
      <c r="E550" s="2" t="s">
        <v>4439</v>
      </c>
      <c r="F550" s="10">
        <v>201.09</v>
      </c>
      <c r="G550" s="11">
        <f>(CV)*201.09</f>
        <v>201.09</v>
      </c>
    </row>
    <row r="551" spans="1:7" x14ac:dyDescent="0.2">
      <c r="A551" s="8" t="s">
        <v>2768</v>
      </c>
      <c r="B551" s="8">
        <v>33</v>
      </c>
      <c r="C551" s="8">
        <v>500</v>
      </c>
      <c r="D551" s="8">
        <v>600</v>
      </c>
      <c r="E551" s="2" t="s">
        <v>2769</v>
      </c>
      <c r="F551" s="10">
        <v>214.48</v>
      </c>
      <c r="G551" s="11">
        <f>(CV)*214.48</f>
        <v>214.48</v>
      </c>
    </row>
    <row r="552" spans="1:7" x14ac:dyDescent="0.2">
      <c r="A552" s="8" t="s">
        <v>4440</v>
      </c>
      <c r="B552" s="8">
        <v>33</v>
      </c>
      <c r="C552" s="8">
        <v>500</v>
      </c>
      <c r="D552" s="8">
        <v>600</v>
      </c>
      <c r="E552" s="2" t="s">
        <v>4441</v>
      </c>
      <c r="F552" s="10">
        <v>214.48</v>
      </c>
      <c r="G552" s="11">
        <f>(CV)*214.48</f>
        <v>214.48</v>
      </c>
    </row>
    <row r="553" spans="1:7" x14ac:dyDescent="0.2">
      <c r="A553" s="8" t="s">
        <v>2770</v>
      </c>
      <c r="B553" s="8">
        <v>33</v>
      </c>
      <c r="C553" s="8">
        <v>500</v>
      </c>
      <c r="D553" s="8">
        <v>700</v>
      </c>
      <c r="E553" s="2" t="s">
        <v>2771</v>
      </c>
      <c r="F553" s="10">
        <v>228.3</v>
      </c>
      <c r="G553" s="11">
        <f>(CV)*228.3</f>
        <v>228.3</v>
      </c>
    </row>
    <row r="554" spans="1:7" x14ac:dyDescent="0.2">
      <c r="A554" s="8" t="s">
        <v>4442</v>
      </c>
      <c r="B554" s="8">
        <v>33</v>
      </c>
      <c r="C554" s="8">
        <v>500</v>
      </c>
      <c r="D554" s="8">
        <v>700</v>
      </c>
      <c r="E554" s="2" t="s">
        <v>4443</v>
      </c>
      <c r="F554" s="10">
        <v>228.3</v>
      </c>
      <c r="G554" s="11">
        <f>(CV)*228.3</f>
        <v>228.3</v>
      </c>
    </row>
    <row r="555" spans="1:7" x14ac:dyDescent="0.2">
      <c r="A555" s="8" t="s">
        <v>2772</v>
      </c>
      <c r="B555" s="8">
        <v>33</v>
      </c>
      <c r="C555" s="8">
        <v>500</v>
      </c>
      <c r="D555" s="8">
        <v>800</v>
      </c>
      <c r="E555" s="2" t="s">
        <v>2773</v>
      </c>
      <c r="F555" s="10">
        <v>243.12</v>
      </c>
      <c r="G555" s="11">
        <f>(CV)*243.12</f>
        <v>243.12</v>
      </c>
    </row>
    <row r="556" spans="1:7" x14ac:dyDescent="0.2">
      <c r="A556" s="8" t="s">
        <v>4444</v>
      </c>
      <c r="B556" s="8">
        <v>33</v>
      </c>
      <c r="C556" s="8">
        <v>500</v>
      </c>
      <c r="D556" s="8">
        <v>800</v>
      </c>
      <c r="E556" s="2" t="s">
        <v>4445</v>
      </c>
      <c r="F556" s="10">
        <v>243.12</v>
      </c>
      <c r="G556" s="11">
        <f>(CV)*243.12</f>
        <v>243.12</v>
      </c>
    </row>
    <row r="557" spans="1:7" x14ac:dyDescent="0.2">
      <c r="A557" s="8" t="s">
        <v>2774</v>
      </c>
      <c r="B557" s="8">
        <v>33</v>
      </c>
      <c r="C557" s="8">
        <v>500</v>
      </c>
      <c r="D557" s="8">
        <v>900</v>
      </c>
      <c r="E557" s="2" t="s">
        <v>2775</v>
      </c>
      <c r="F557" s="10">
        <v>259.55</v>
      </c>
      <c r="G557" s="11">
        <f>(CV)*259.55</f>
        <v>259.55</v>
      </c>
    </row>
    <row r="558" spans="1:7" x14ac:dyDescent="0.2">
      <c r="A558" s="8" t="s">
        <v>4446</v>
      </c>
      <c r="B558" s="8">
        <v>33</v>
      </c>
      <c r="C558" s="8">
        <v>500</v>
      </c>
      <c r="D558" s="8">
        <v>900</v>
      </c>
      <c r="E558" s="2" t="s">
        <v>4447</v>
      </c>
      <c r="F558" s="10">
        <v>259.55</v>
      </c>
      <c r="G558" s="11">
        <f>(CV)*259.55</f>
        <v>259.55</v>
      </c>
    </row>
    <row r="559" spans="1:7" x14ac:dyDescent="0.2">
      <c r="A559" s="8" t="s">
        <v>2776</v>
      </c>
      <c r="B559" s="8">
        <v>33</v>
      </c>
      <c r="C559" s="8">
        <v>500</v>
      </c>
      <c r="D559" s="8">
        <v>1000</v>
      </c>
      <c r="E559" s="2" t="s">
        <v>2777</v>
      </c>
      <c r="F559" s="10">
        <v>275.33</v>
      </c>
      <c r="G559" s="11">
        <f>(CV)*275.33</f>
        <v>275.33</v>
      </c>
    </row>
    <row r="560" spans="1:7" x14ac:dyDescent="0.2">
      <c r="A560" s="8" t="s">
        <v>4448</v>
      </c>
      <c r="B560" s="8">
        <v>33</v>
      </c>
      <c r="C560" s="8">
        <v>500</v>
      </c>
      <c r="D560" s="8">
        <v>1000</v>
      </c>
      <c r="E560" s="2" t="s">
        <v>4449</v>
      </c>
      <c r="F560" s="10">
        <v>275.33</v>
      </c>
      <c r="G560" s="11">
        <f>(CV)*275.33</f>
        <v>275.33</v>
      </c>
    </row>
    <row r="561" spans="1:7" x14ac:dyDescent="0.2">
      <c r="A561" s="8" t="s">
        <v>2778</v>
      </c>
      <c r="B561" s="8">
        <v>33</v>
      </c>
      <c r="C561" s="8">
        <v>500</v>
      </c>
      <c r="D561" s="8">
        <v>1100</v>
      </c>
      <c r="E561" s="2" t="s">
        <v>2779</v>
      </c>
      <c r="F561" s="10">
        <v>291.35000000000002</v>
      </c>
      <c r="G561" s="11">
        <f>(CV)*291.35</f>
        <v>291.35000000000002</v>
      </c>
    </row>
    <row r="562" spans="1:7" x14ac:dyDescent="0.2">
      <c r="A562" s="8" t="s">
        <v>4450</v>
      </c>
      <c r="B562" s="8">
        <v>33</v>
      </c>
      <c r="C562" s="8">
        <v>500</v>
      </c>
      <c r="D562" s="8">
        <v>1100</v>
      </c>
      <c r="E562" s="2" t="s">
        <v>4451</v>
      </c>
      <c r="F562" s="10">
        <v>291.35000000000002</v>
      </c>
      <c r="G562" s="11">
        <f>(CV)*291.35</f>
        <v>291.35000000000002</v>
      </c>
    </row>
    <row r="563" spans="1:7" x14ac:dyDescent="0.2">
      <c r="A563" s="8" t="s">
        <v>2780</v>
      </c>
      <c r="B563" s="8">
        <v>33</v>
      </c>
      <c r="C563" s="8">
        <v>500</v>
      </c>
      <c r="D563" s="8">
        <v>1200</v>
      </c>
      <c r="E563" s="2" t="s">
        <v>2781</v>
      </c>
      <c r="F563" s="10">
        <v>307.45999999999998</v>
      </c>
      <c r="G563" s="11">
        <f>(CV)*307.46</f>
        <v>307.45999999999998</v>
      </c>
    </row>
    <row r="564" spans="1:7" x14ac:dyDescent="0.2">
      <c r="A564" s="8" t="s">
        <v>4452</v>
      </c>
      <c r="B564" s="8">
        <v>33</v>
      </c>
      <c r="C564" s="8">
        <v>500</v>
      </c>
      <c r="D564" s="8">
        <v>1200</v>
      </c>
      <c r="E564" s="2" t="s">
        <v>4453</v>
      </c>
      <c r="F564" s="10">
        <v>307.45999999999998</v>
      </c>
      <c r="G564" s="11">
        <f>(CV)*307.46</f>
        <v>307.45999999999998</v>
      </c>
    </row>
    <row r="565" spans="1:7" x14ac:dyDescent="0.2">
      <c r="A565" s="8" t="s">
        <v>2782</v>
      </c>
      <c r="B565" s="8">
        <v>33</v>
      </c>
      <c r="C565" s="8">
        <v>500</v>
      </c>
      <c r="D565" s="8">
        <v>1400</v>
      </c>
      <c r="E565" s="2" t="s">
        <v>2783</v>
      </c>
      <c r="F565" s="10">
        <v>339.03</v>
      </c>
      <c r="G565" s="11">
        <f>(CV)*339.03</f>
        <v>339.03</v>
      </c>
    </row>
    <row r="566" spans="1:7" x14ac:dyDescent="0.2">
      <c r="A566" s="8" t="s">
        <v>4454</v>
      </c>
      <c r="B566" s="8">
        <v>33</v>
      </c>
      <c r="C566" s="8">
        <v>500</v>
      </c>
      <c r="D566" s="8">
        <v>1400</v>
      </c>
      <c r="E566" s="2" t="s">
        <v>4455</v>
      </c>
      <c r="F566" s="10">
        <v>339.03</v>
      </c>
      <c r="G566" s="11">
        <f>(CV)*339.03</f>
        <v>339.03</v>
      </c>
    </row>
    <row r="567" spans="1:7" x14ac:dyDescent="0.2">
      <c r="A567" s="8" t="s">
        <v>2784</v>
      </c>
      <c r="B567" s="8">
        <v>33</v>
      </c>
      <c r="C567" s="8">
        <v>500</v>
      </c>
      <c r="D567" s="8">
        <v>1600</v>
      </c>
      <c r="E567" s="2" t="s">
        <v>2785</v>
      </c>
      <c r="F567" s="10">
        <v>371.08</v>
      </c>
      <c r="G567" s="11">
        <f>(CV)*371.08</f>
        <v>371.08</v>
      </c>
    </row>
    <row r="568" spans="1:7" x14ac:dyDescent="0.2">
      <c r="A568" s="8" t="s">
        <v>4456</v>
      </c>
      <c r="B568" s="8">
        <v>33</v>
      </c>
      <c r="C568" s="8">
        <v>500</v>
      </c>
      <c r="D568" s="8">
        <v>1600</v>
      </c>
      <c r="E568" s="2" t="s">
        <v>4457</v>
      </c>
      <c r="F568" s="10">
        <v>371.08</v>
      </c>
      <c r="G568" s="11">
        <f>(CV)*371.08</f>
        <v>371.08</v>
      </c>
    </row>
    <row r="569" spans="1:7" x14ac:dyDescent="0.2">
      <c r="A569" s="8" t="s">
        <v>2786</v>
      </c>
      <c r="B569" s="8">
        <v>33</v>
      </c>
      <c r="C569" s="8">
        <v>500</v>
      </c>
      <c r="D569" s="8">
        <v>1800</v>
      </c>
      <c r="E569" s="2" t="s">
        <v>2787</v>
      </c>
      <c r="F569" s="10">
        <v>402.72</v>
      </c>
      <c r="G569" s="11">
        <f>(CV)*402.72</f>
        <v>402.72</v>
      </c>
    </row>
    <row r="570" spans="1:7" x14ac:dyDescent="0.2">
      <c r="A570" s="8" t="s">
        <v>4458</v>
      </c>
      <c r="B570" s="8">
        <v>33</v>
      </c>
      <c r="C570" s="8">
        <v>500</v>
      </c>
      <c r="D570" s="8">
        <v>1800</v>
      </c>
      <c r="E570" s="2" t="s">
        <v>4459</v>
      </c>
      <c r="F570" s="10">
        <v>402.72</v>
      </c>
      <c r="G570" s="11">
        <f>(CV)*402.72</f>
        <v>402.72</v>
      </c>
    </row>
    <row r="571" spans="1:7" x14ac:dyDescent="0.2">
      <c r="A571" s="8" t="s">
        <v>2788</v>
      </c>
      <c r="B571" s="8">
        <v>33</v>
      </c>
      <c r="C571" s="8">
        <v>500</v>
      </c>
      <c r="D571" s="8">
        <v>2000</v>
      </c>
      <c r="E571" s="2" t="s">
        <v>2789</v>
      </c>
      <c r="F571" s="10">
        <v>434.45</v>
      </c>
      <c r="G571" s="11">
        <f>(CV)*434.45</f>
        <v>434.45</v>
      </c>
    </row>
    <row r="572" spans="1:7" x14ac:dyDescent="0.2">
      <c r="A572" s="8" t="s">
        <v>4460</v>
      </c>
      <c r="B572" s="8">
        <v>33</v>
      </c>
      <c r="C572" s="8">
        <v>500</v>
      </c>
      <c r="D572" s="8">
        <v>2000</v>
      </c>
      <c r="E572" s="2" t="s">
        <v>4461</v>
      </c>
      <c r="F572" s="10">
        <v>434.45</v>
      </c>
      <c r="G572" s="11">
        <f>(CV)*434.45</f>
        <v>434.45</v>
      </c>
    </row>
    <row r="573" spans="1:7" x14ac:dyDescent="0.2">
      <c r="A573" s="8" t="s">
        <v>2790</v>
      </c>
      <c r="B573" s="8">
        <v>33</v>
      </c>
      <c r="C573" s="8">
        <v>500</v>
      </c>
      <c r="D573" s="8">
        <v>2300</v>
      </c>
      <c r="E573" s="2" t="s">
        <v>2791</v>
      </c>
      <c r="F573" s="10">
        <v>482.71</v>
      </c>
      <c r="G573" s="11">
        <f>(CV)*482.71</f>
        <v>482.71</v>
      </c>
    </row>
    <row r="574" spans="1:7" x14ac:dyDescent="0.2">
      <c r="A574" s="8" t="s">
        <v>4462</v>
      </c>
      <c r="B574" s="8">
        <v>33</v>
      </c>
      <c r="C574" s="8">
        <v>500</v>
      </c>
      <c r="D574" s="8">
        <v>2300</v>
      </c>
      <c r="E574" s="2" t="s">
        <v>4463</v>
      </c>
      <c r="F574" s="10">
        <v>482.71</v>
      </c>
      <c r="G574" s="11">
        <f>(CV)*482.71</f>
        <v>482.71</v>
      </c>
    </row>
    <row r="575" spans="1:7" x14ac:dyDescent="0.2">
      <c r="A575" s="8" t="s">
        <v>2792</v>
      </c>
      <c r="B575" s="8">
        <v>33</v>
      </c>
      <c r="C575" s="8">
        <v>500</v>
      </c>
      <c r="D575" s="8">
        <v>2600</v>
      </c>
      <c r="E575" s="2" t="s">
        <v>2793</v>
      </c>
      <c r="F575" s="10">
        <v>530.45000000000005</v>
      </c>
      <c r="G575" s="11">
        <f>(CV)*530.45</f>
        <v>530.45000000000005</v>
      </c>
    </row>
    <row r="576" spans="1:7" x14ac:dyDescent="0.2">
      <c r="A576" s="8" t="s">
        <v>4464</v>
      </c>
      <c r="B576" s="8">
        <v>33</v>
      </c>
      <c r="C576" s="8">
        <v>500</v>
      </c>
      <c r="D576" s="8">
        <v>2600</v>
      </c>
      <c r="E576" s="2" t="s">
        <v>4465</v>
      </c>
      <c r="F576" s="10">
        <v>530.45000000000005</v>
      </c>
      <c r="G576" s="11">
        <f>(CV)*530.45</f>
        <v>530.45000000000005</v>
      </c>
    </row>
    <row r="577" spans="1:7" x14ac:dyDescent="0.2">
      <c r="A577" s="8" t="s">
        <v>2794</v>
      </c>
      <c r="B577" s="8">
        <v>33</v>
      </c>
      <c r="C577" s="8">
        <v>500</v>
      </c>
      <c r="D577" s="8">
        <v>3000</v>
      </c>
      <c r="E577" s="2" t="s">
        <v>2795</v>
      </c>
      <c r="F577" s="10">
        <v>582.79</v>
      </c>
      <c r="G577" s="11">
        <f>(CV)*582.79</f>
        <v>582.79</v>
      </c>
    </row>
    <row r="578" spans="1:7" x14ac:dyDescent="0.2">
      <c r="A578" s="8" t="s">
        <v>4466</v>
      </c>
      <c r="B578" s="8">
        <v>33</v>
      </c>
      <c r="C578" s="8">
        <v>500</v>
      </c>
      <c r="D578" s="8">
        <v>3000</v>
      </c>
      <c r="E578" s="2" t="s">
        <v>4467</v>
      </c>
      <c r="F578" s="10">
        <v>582.79</v>
      </c>
      <c r="G578" s="11">
        <f>(CV)*582.79</f>
        <v>582.79</v>
      </c>
    </row>
    <row r="579" spans="1:7" x14ac:dyDescent="0.2">
      <c r="A579" s="8" t="s">
        <v>2796</v>
      </c>
      <c r="B579" s="8">
        <v>33</v>
      </c>
      <c r="C579" s="8">
        <v>600</v>
      </c>
      <c r="D579" s="8">
        <v>400</v>
      </c>
      <c r="E579" s="2" t="s">
        <v>2797</v>
      </c>
      <c r="F579" s="10">
        <v>198.71</v>
      </c>
      <c r="G579" s="11">
        <f>(CV)*198.71</f>
        <v>198.71</v>
      </c>
    </row>
    <row r="580" spans="1:7" x14ac:dyDescent="0.2">
      <c r="A580" s="8" t="s">
        <v>4468</v>
      </c>
      <c r="B580" s="8">
        <v>33</v>
      </c>
      <c r="C580" s="8">
        <v>600</v>
      </c>
      <c r="D580" s="8">
        <v>400</v>
      </c>
      <c r="E580" s="2" t="s">
        <v>4469</v>
      </c>
      <c r="F580" s="10">
        <v>198.71</v>
      </c>
      <c r="G580" s="11">
        <f>(CV)*198.71</f>
        <v>198.71</v>
      </c>
    </row>
    <row r="581" spans="1:7" x14ac:dyDescent="0.2">
      <c r="A581" s="8" t="s">
        <v>2798</v>
      </c>
      <c r="B581" s="8">
        <v>33</v>
      </c>
      <c r="C581" s="8">
        <v>600</v>
      </c>
      <c r="D581" s="8">
        <v>500</v>
      </c>
      <c r="E581" s="2" t="s">
        <v>2799</v>
      </c>
      <c r="F581" s="10">
        <v>211.71</v>
      </c>
      <c r="G581" s="11">
        <f>(CV)*211.71</f>
        <v>211.71</v>
      </c>
    </row>
    <row r="582" spans="1:7" x14ac:dyDescent="0.2">
      <c r="A582" s="8" t="s">
        <v>4470</v>
      </c>
      <c r="B582" s="8">
        <v>33</v>
      </c>
      <c r="C582" s="8">
        <v>600</v>
      </c>
      <c r="D582" s="8">
        <v>500</v>
      </c>
      <c r="E582" s="2" t="s">
        <v>4471</v>
      </c>
      <c r="F582" s="10">
        <v>211.71</v>
      </c>
      <c r="G582" s="11">
        <f>(CV)*211.71</f>
        <v>211.71</v>
      </c>
    </row>
    <row r="583" spans="1:7" x14ac:dyDescent="0.2">
      <c r="A583" s="8" t="s">
        <v>2800</v>
      </c>
      <c r="B583" s="8">
        <v>33</v>
      </c>
      <c r="C583" s="8">
        <v>600</v>
      </c>
      <c r="D583" s="8">
        <v>600</v>
      </c>
      <c r="E583" s="2" t="s">
        <v>2801</v>
      </c>
      <c r="F583" s="10">
        <v>226.25</v>
      </c>
      <c r="G583" s="11">
        <f>(CV)*226.25</f>
        <v>226.25</v>
      </c>
    </row>
    <row r="584" spans="1:7" x14ac:dyDescent="0.2">
      <c r="A584" s="8" t="s">
        <v>4472</v>
      </c>
      <c r="B584" s="8">
        <v>33</v>
      </c>
      <c r="C584" s="8">
        <v>600</v>
      </c>
      <c r="D584" s="8">
        <v>600</v>
      </c>
      <c r="E584" s="2" t="s">
        <v>4473</v>
      </c>
      <c r="F584" s="10">
        <v>226.25</v>
      </c>
      <c r="G584" s="11">
        <f>(CV)*226.25</f>
        <v>226.25</v>
      </c>
    </row>
    <row r="585" spans="1:7" x14ac:dyDescent="0.2">
      <c r="A585" s="8" t="s">
        <v>2802</v>
      </c>
      <c r="B585" s="8">
        <v>33</v>
      </c>
      <c r="C585" s="8">
        <v>600</v>
      </c>
      <c r="D585" s="8">
        <v>700</v>
      </c>
      <c r="E585" s="2" t="s">
        <v>2803</v>
      </c>
      <c r="F585" s="10">
        <v>241.8</v>
      </c>
      <c r="G585" s="11">
        <f>(CV)*241.8</f>
        <v>241.8</v>
      </c>
    </row>
    <row r="586" spans="1:7" x14ac:dyDescent="0.2">
      <c r="A586" s="8" t="s">
        <v>4474</v>
      </c>
      <c r="B586" s="8">
        <v>33</v>
      </c>
      <c r="C586" s="8">
        <v>600</v>
      </c>
      <c r="D586" s="8">
        <v>700</v>
      </c>
      <c r="E586" s="2" t="s">
        <v>4475</v>
      </c>
      <c r="F586" s="10">
        <v>241.8</v>
      </c>
      <c r="G586" s="11">
        <f>(CV)*241.8</f>
        <v>241.8</v>
      </c>
    </row>
    <row r="587" spans="1:7" x14ac:dyDescent="0.2">
      <c r="A587" s="8" t="s">
        <v>2804</v>
      </c>
      <c r="B587" s="8">
        <v>33</v>
      </c>
      <c r="C587" s="8">
        <v>600</v>
      </c>
      <c r="D587" s="8">
        <v>800</v>
      </c>
      <c r="E587" s="2" t="s">
        <v>2805</v>
      </c>
      <c r="F587" s="10">
        <v>258.47000000000003</v>
      </c>
      <c r="G587" s="11">
        <f>(CV)*258.47</f>
        <v>258.47000000000003</v>
      </c>
    </row>
    <row r="588" spans="1:7" x14ac:dyDescent="0.2">
      <c r="A588" s="8" t="s">
        <v>4476</v>
      </c>
      <c r="B588" s="8">
        <v>33</v>
      </c>
      <c r="C588" s="8">
        <v>600</v>
      </c>
      <c r="D588" s="8">
        <v>800</v>
      </c>
      <c r="E588" s="2" t="s">
        <v>4477</v>
      </c>
      <c r="F588" s="10">
        <v>258.47000000000003</v>
      </c>
      <c r="G588" s="11">
        <f>(CV)*258.47</f>
        <v>258.47000000000003</v>
      </c>
    </row>
    <row r="589" spans="1:7" x14ac:dyDescent="0.2">
      <c r="A589" s="8" t="s">
        <v>2806</v>
      </c>
      <c r="B589" s="8">
        <v>33</v>
      </c>
      <c r="C589" s="8">
        <v>600</v>
      </c>
      <c r="D589" s="8">
        <v>900</v>
      </c>
      <c r="E589" s="2" t="s">
        <v>2807</v>
      </c>
      <c r="F589" s="10">
        <v>276.07</v>
      </c>
      <c r="G589" s="11">
        <f>(CV)*276.07</f>
        <v>276.07</v>
      </c>
    </row>
    <row r="590" spans="1:7" x14ac:dyDescent="0.2">
      <c r="A590" s="8" t="s">
        <v>4478</v>
      </c>
      <c r="B590" s="8">
        <v>33</v>
      </c>
      <c r="C590" s="8">
        <v>600</v>
      </c>
      <c r="D590" s="8">
        <v>900</v>
      </c>
      <c r="E590" s="2" t="s">
        <v>4479</v>
      </c>
      <c r="F590" s="10">
        <v>276.07</v>
      </c>
      <c r="G590" s="11">
        <f>(CV)*276.07</f>
        <v>276.07</v>
      </c>
    </row>
    <row r="591" spans="1:7" x14ac:dyDescent="0.2">
      <c r="A591" s="8" t="s">
        <v>2808</v>
      </c>
      <c r="B591" s="8">
        <v>33</v>
      </c>
      <c r="C591" s="8">
        <v>600</v>
      </c>
      <c r="D591" s="8">
        <v>1000</v>
      </c>
      <c r="E591" s="2" t="s">
        <v>2809</v>
      </c>
      <c r="F591" s="10">
        <v>293.73</v>
      </c>
      <c r="G591" s="11">
        <f>(CV)*293.73</f>
        <v>293.73</v>
      </c>
    </row>
    <row r="592" spans="1:7" x14ac:dyDescent="0.2">
      <c r="A592" s="8" t="s">
        <v>4480</v>
      </c>
      <c r="B592" s="8">
        <v>33</v>
      </c>
      <c r="C592" s="8">
        <v>600</v>
      </c>
      <c r="D592" s="8">
        <v>1000</v>
      </c>
      <c r="E592" s="2" t="s">
        <v>4481</v>
      </c>
      <c r="F592" s="10">
        <v>293.73</v>
      </c>
      <c r="G592" s="11">
        <f>(CV)*293.73</f>
        <v>293.73</v>
      </c>
    </row>
    <row r="593" spans="1:7" x14ac:dyDescent="0.2">
      <c r="A593" s="8" t="s">
        <v>2810</v>
      </c>
      <c r="B593" s="8">
        <v>33</v>
      </c>
      <c r="C593" s="8">
        <v>600</v>
      </c>
      <c r="D593" s="8">
        <v>1100</v>
      </c>
      <c r="E593" s="2" t="s">
        <v>2811</v>
      </c>
      <c r="F593" s="10">
        <v>311.47000000000003</v>
      </c>
      <c r="G593" s="11">
        <f>(CV)*311.47</f>
        <v>311.47000000000003</v>
      </c>
    </row>
    <row r="594" spans="1:7" x14ac:dyDescent="0.2">
      <c r="A594" s="8" t="s">
        <v>4482</v>
      </c>
      <c r="B594" s="8">
        <v>33</v>
      </c>
      <c r="C594" s="8">
        <v>600</v>
      </c>
      <c r="D594" s="8">
        <v>1100</v>
      </c>
      <c r="E594" s="2" t="s">
        <v>4483</v>
      </c>
      <c r="F594" s="10">
        <v>311.47000000000003</v>
      </c>
      <c r="G594" s="11">
        <f>(CV)*311.47</f>
        <v>311.47000000000003</v>
      </c>
    </row>
    <row r="595" spans="1:7" x14ac:dyDescent="0.2">
      <c r="A595" s="8" t="s">
        <v>2812</v>
      </c>
      <c r="B595" s="8">
        <v>33</v>
      </c>
      <c r="C595" s="8">
        <v>600</v>
      </c>
      <c r="D595" s="8">
        <v>1200</v>
      </c>
      <c r="E595" s="2" t="s">
        <v>2813</v>
      </c>
      <c r="F595" s="10">
        <v>329.12</v>
      </c>
      <c r="G595" s="11">
        <f>(CV)*329.12</f>
        <v>329.12</v>
      </c>
    </row>
    <row r="596" spans="1:7" x14ac:dyDescent="0.2">
      <c r="A596" s="8" t="s">
        <v>4484</v>
      </c>
      <c r="B596" s="8">
        <v>33</v>
      </c>
      <c r="C596" s="8">
        <v>600</v>
      </c>
      <c r="D596" s="8">
        <v>1200</v>
      </c>
      <c r="E596" s="2" t="s">
        <v>4485</v>
      </c>
      <c r="F596" s="10">
        <v>329.12</v>
      </c>
      <c r="G596" s="11">
        <f>(CV)*329.12</f>
        <v>329.12</v>
      </c>
    </row>
    <row r="597" spans="1:7" x14ac:dyDescent="0.2">
      <c r="A597" s="8" t="s">
        <v>2814</v>
      </c>
      <c r="B597" s="8">
        <v>33</v>
      </c>
      <c r="C597" s="8">
        <v>600</v>
      </c>
      <c r="D597" s="8">
        <v>1400</v>
      </c>
      <c r="E597" s="2" t="s">
        <v>2815</v>
      </c>
      <c r="F597" s="10">
        <v>364.3</v>
      </c>
      <c r="G597" s="11">
        <f>(CV)*364.3</f>
        <v>364.3</v>
      </c>
    </row>
    <row r="598" spans="1:7" x14ac:dyDescent="0.2">
      <c r="A598" s="8" t="s">
        <v>4486</v>
      </c>
      <c r="B598" s="8">
        <v>33</v>
      </c>
      <c r="C598" s="8">
        <v>600</v>
      </c>
      <c r="D598" s="8">
        <v>1400</v>
      </c>
      <c r="E598" s="2" t="s">
        <v>4487</v>
      </c>
      <c r="F598" s="10">
        <v>364.3</v>
      </c>
      <c r="G598" s="11">
        <f>(CV)*364.3</f>
        <v>364.3</v>
      </c>
    </row>
    <row r="599" spans="1:7" x14ac:dyDescent="0.2">
      <c r="A599" s="8" t="s">
        <v>2816</v>
      </c>
      <c r="B599" s="8">
        <v>33</v>
      </c>
      <c r="C599" s="8">
        <v>600</v>
      </c>
      <c r="D599" s="8">
        <v>1600</v>
      </c>
      <c r="E599" s="2" t="s">
        <v>2817</v>
      </c>
      <c r="F599" s="10">
        <v>400.04</v>
      </c>
      <c r="G599" s="11">
        <f>(CV)*400.04</f>
        <v>400.04</v>
      </c>
    </row>
    <row r="600" spans="1:7" x14ac:dyDescent="0.2">
      <c r="A600" s="8" t="s">
        <v>4488</v>
      </c>
      <c r="B600" s="8">
        <v>33</v>
      </c>
      <c r="C600" s="8">
        <v>600</v>
      </c>
      <c r="D600" s="8">
        <v>1600</v>
      </c>
      <c r="E600" s="2" t="s">
        <v>4489</v>
      </c>
      <c r="F600" s="10">
        <v>400.04</v>
      </c>
      <c r="G600" s="11">
        <f>(CV)*400.04</f>
        <v>400.04</v>
      </c>
    </row>
    <row r="601" spans="1:7" x14ac:dyDescent="0.2">
      <c r="A601" s="8" t="s">
        <v>2818</v>
      </c>
      <c r="B601" s="8">
        <v>33</v>
      </c>
      <c r="C601" s="8">
        <v>600</v>
      </c>
      <c r="D601" s="8">
        <v>1800</v>
      </c>
      <c r="E601" s="2" t="s">
        <v>2819</v>
      </c>
      <c r="F601" s="10">
        <v>435.19</v>
      </c>
      <c r="G601" s="11">
        <f>(CV)*435.19</f>
        <v>435.19</v>
      </c>
    </row>
    <row r="602" spans="1:7" x14ac:dyDescent="0.2">
      <c r="A602" s="8" t="s">
        <v>4490</v>
      </c>
      <c r="B602" s="8">
        <v>33</v>
      </c>
      <c r="C602" s="8">
        <v>600</v>
      </c>
      <c r="D602" s="8">
        <v>1800</v>
      </c>
      <c r="E602" s="2" t="s">
        <v>4491</v>
      </c>
      <c r="F602" s="10">
        <v>435.19</v>
      </c>
      <c r="G602" s="11">
        <f>(CV)*435.19</f>
        <v>435.19</v>
      </c>
    </row>
    <row r="603" spans="1:7" x14ac:dyDescent="0.2">
      <c r="A603" s="8" t="s">
        <v>2820</v>
      </c>
      <c r="B603" s="8">
        <v>33</v>
      </c>
      <c r="C603" s="8">
        <v>600</v>
      </c>
      <c r="D603" s="8">
        <v>2000</v>
      </c>
      <c r="E603" s="2" t="s">
        <v>2821</v>
      </c>
      <c r="F603" s="10">
        <v>471.1</v>
      </c>
      <c r="G603" s="11">
        <f>(CV)*471.1</f>
        <v>471.1</v>
      </c>
    </row>
    <row r="604" spans="1:7" x14ac:dyDescent="0.2">
      <c r="A604" s="8" t="s">
        <v>4492</v>
      </c>
      <c r="B604" s="8">
        <v>33</v>
      </c>
      <c r="C604" s="8">
        <v>600</v>
      </c>
      <c r="D604" s="8">
        <v>2000</v>
      </c>
      <c r="E604" s="2" t="s">
        <v>4493</v>
      </c>
      <c r="F604" s="10">
        <v>471.1</v>
      </c>
      <c r="G604" s="11">
        <f>(CV)*471.1</f>
        <v>471.1</v>
      </c>
    </row>
    <row r="605" spans="1:7" x14ac:dyDescent="0.2">
      <c r="A605" s="8" t="s">
        <v>2822</v>
      </c>
      <c r="B605" s="8">
        <v>33</v>
      </c>
      <c r="C605" s="8">
        <v>600</v>
      </c>
      <c r="D605" s="8">
        <v>2300</v>
      </c>
      <c r="E605" s="2" t="s">
        <v>2823</v>
      </c>
      <c r="F605" s="10">
        <v>524</v>
      </c>
      <c r="G605" s="11">
        <f>(CV)*524</f>
        <v>524</v>
      </c>
    </row>
    <row r="606" spans="1:7" x14ac:dyDescent="0.2">
      <c r="A606" s="8" t="s">
        <v>4494</v>
      </c>
      <c r="B606" s="8">
        <v>33</v>
      </c>
      <c r="C606" s="8">
        <v>600</v>
      </c>
      <c r="D606" s="8">
        <v>2300</v>
      </c>
      <c r="E606" s="2" t="s">
        <v>4495</v>
      </c>
      <c r="F606" s="10">
        <v>524</v>
      </c>
      <c r="G606" s="11">
        <f>(CV)*524</f>
        <v>524</v>
      </c>
    </row>
    <row r="607" spans="1:7" x14ac:dyDescent="0.2">
      <c r="A607" s="8" t="s">
        <v>2824</v>
      </c>
      <c r="B607" s="8">
        <v>33</v>
      </c>
      <c r="C607" s="8">
        <v>600</v>
      </c>
      <c r="D607" s="8">
        <v>2600</v>
      </c>
      <c r="E607" s="2" t="s">
        <v>2825</v>
      </c>
      <c r="F607" s="10">
        <v>577.54999999999995</v>
      </c>
      <c r="G607" s="11">
        <f>(CV)*577.55</f>
        <v>577.54999999999995</v>
      </c>
    </row>
    <row r="608" spans="1:7" x14ac:dyDescent="0.2">
      <c r="A608" s="8" t="s">
        <v>4496</v>
      </c>
      <c r="B608" s="8">
        <v>33</v>
      </c>
      <c r="C608" s="8">
        <v>600</v>
      </c>
      <c r="D608" s="8">
        <v>2600</v>
      </c>
      <c r="E608" s="2" t="s">
        <v>4497</v>
      </c>
      <c r="F608" s="10">
        <v>577.54999999999995</v>
      </c>
      <c r="G608" s="11">
        <f>(CV)*577.55</f>
        <v>577.54999999999995</v>
      </c>
    </row>
    <row r="609" spans="1:7" x14ac:dyDescent="0.2">
      <c r="A609" s="8" t="s">
        <v>2826</v>
      </c>
      <c r="B609" s="8">
        <v>33</v>
      </c>
      <c r="C609" s="8">
        <v>600</v>
      </c>
      <c r="D609" s="8">
        <v>3000</v>
      </c>
      <c r="E609" s="2" t="s">
        <v>2827</v>
      </c>
      <c r="F609" s="10">
        <v>636.11</v>
      </c>
      <c r="G609" s="11">
        <f>(CV)*636.11</f>
        <v>636.11</v>
      </c>
    </row>
    <row r="610" spans="1:7" x14ac:dyDescent="0.2">
      <c r="A610" s="8" t="s">
        <v>4498</v>
      </c>
      <c r="B610" s="8">
        <v>33</v>
      </c>
      <c r="C610" s="8">
        <v>600</v>
      </c>
      <c r="D610" s="8">
        <v>3000</v>
      </c>
      <c r="E610" s="2" t="s">
        <v>4499</v>
      </c>
      <c r="F610" s="10">
        <v>636.11</v>
      </c>
      <c r="G610" s="11">
        <f>(CV)*636.11</f>
        <v>636.11</v>
      </c>
    </row>
    <row r="611" spans="1:7" x14ac:dyDescent="0.2">
      <c r="A611" s="8" t="s">
        <v>2828</v>
      </c>
      <c r="B611" s="8">
        <v>33</v>
      </c>
      <c r="C611" s="8">
        <v>900</v>
      </c>
      <c r="D611" s="8">
        <v>400</v>
      </c>
      <c r="E611" s="2" t="s">
        <v>2829</v>
      </c>
      <c r="F611" s="10">
        <v>206.63</v>
      </c>
      <c r="G611" s="11">
        <f>(CV)*206.63</f>
        <v>206.63</v>
      </c>
    </row>
    <row r="612" spans="1:7" x14ac:dyDescent="0.2">
      <c r="A612" s="8" t="s">
        <v>4500</v>
      </c>
      <c r="B612" s="8">
        <v>33</v>
      </c>
      <c r="C612" s="8">
        <v>900</v>
      </c>
      <c r="D612" s="8">
        <v>400</v>
      </c>
      <c r="E612" s="2" t="s">
        <v>4501</v>
      </c>
      <c r="F612" s="10">
        <v>206.63</v>
      </c>
      <c r="G612" s="11">
        <f>(CV)*206.63</f>
        <v>206.63</v>
      </c>
    </row>
    <row r="613" spans="1:7" x14ac:dyDescent="0.2">
      <c r="A613" s="8" t="s">
        <v>2830</v>
      </c>
      <c r="B613" s="8">
        <v>33</v>
      </c>
      <c r="C613" s="8">
        <v>900</v>
      </c>
      <c r="D613" s="8">
        <v>500</v>
      </c>
      <c r="E613" s="2" t="s">
        <v>2831</v>
      </c>
      <c r="F613" s="10">
        <v>229.7</v>
      </c>
      <c r="G613" s="11">
        <f>(CV)*229.7</f>
        <v>229.7</v>
      </c>
    </row>
    <row r="614" spans="1:7" x14ac:dyDescent="0.2">
      <c r="A614" s="8" t="s">
        <v>4502</v>
      </c>
      <c r="B614" s="8">
        <v>33</v>
      </c>
      <c r="C614" s="8">
        <v>900</v>
      </c>
      <c r="D614" s="8">
        <v>500</v>
      </c>
      <c r="E614" s="2" t="s">
        <v>4503</v>
      </c>
      <c r="F614" s="10">
        <v>229.7</v>
      </c>
      <c r="G614" s="11">
        <f>(CV)*229.7</f>
        <v>229.7</v>
      </c>
    </row>
    <row r="615" spans="1:7" x14ac:dyDescent="0.2">
      <c r="A615" s="8" t="s">
        <v>2832</v>
      </c>
      <c r="B615" s="8">
        <v>33</v>
      </c>
      <c r="C615" s="8">
        <v>900</v>
      </c>
      <c r="D615" s="8">
        <v>600</v>
      </c>
      <c r="E615" s="2" t="s">
        <v>2833</v>
      </c>
      <c r="F615" s="10">
        <v>255.62</v>
      </c>
      <c r="G615" s="11">
        <f>(CV)*255.62</f>
        <v>255.62</v>
      </c>
    </row>
    <row r="616" spans="1:7" x14ac:dyDescent="0.2">
      <c r="A616" s="8" t="s">
        <v>4504</v>
      </c>
      <c r="B616" s="8">
        <v>33</v>
      </c>
      <c r="C616" s="8">
        <v>900</v>
      </c>
      <c r="D616" s="8">
        <v>600</v>
      </c>
      <c r="E616" s="2" t="s">
        <v>4505</v>
      </c>
      <c r="F616" s="10">
        <v>255.62</v>
      </c>
      <c r="G616" s="11">
        <f>(CV)*255.62</f>
        <v>255.62</v>
      </c>
    </row>
    <row r="617" spans="1:7" x14ac:dyDescent="0.2">
      <c r="A617" s="8" t="s">
        <v>2834</v>
      </c>
      <c r="B617" s="8">
        <v>33</v>
      </c>
      <c r="C617" s="8">
        <v>900</v>
      </c>
      <c r="D617" s="8">
        <v>700</v>
      </c>
      <c r="E617" s="2" t="s">
        <v>2835</v>
      </c>
      <c r="F617" s="10">
        <v>285.22000000000003</v>
      </c>
      <c r="G617" s="11">
        <f>(CV)*285.22</f>
        <v>285.22000000000003</v>
      </c>
    </row>
    <row r="618" spans="1:7" x14ac:dyDescent="0.2">
      <c r="A618" s="8" t="s">
        <v>4506</v>
      </c>
      <c r="B618" s="8">
        <v>33</v>
      </c>
      <c r="C618" s="8">
        <v>900</v>
      </c>
      <c r="D618" s="8">
        <v>700</v>
      </c>
      <c r="E618" s="2" t="s">
        <v>4507</v>
      </c>
      <c r="F618" s="10">
        <v>285.22000000000003</v>
      </c>
      <c r="G618" s="11">
        <f>(CV)*285.22</f>
        <v>285.22000000000003</v>
      </c>
    </row>
    <row r="619" spans="1:7" x14ac:dyDescent="0.2">
      <c r="A619" s="8" t="s">
        <v>2836</v>
      </c>
      <c r="B619" s="8">
        <v>33</v>
      </c>
      <c r="C619" s="8">
        <v>900</v>
      </c>
      <c r="D619" s="8">
        <v>800</v>
      </c>
      <c r="E619" s="2" t="s">
        <v>2837</v>
      </c>
      <c r="F619" s="10">
        <v>318.33999999999997</v>
      </c>
      <c r="G619" s="11">
        <f>(CV)*318.34</f>
        <v>318.33999999999997</v>
      </c>
    </row>
    <row r="620" spans="1:7" x14ac:dyDescent="0.2">
      <c r="A620" s="8" t="s">
        <v>4508</v>
      </c>
      <c r="B620" s="8">
        <v>33</v>
      </c>
      <c r="C620" s="8">
        <v>900</v>
      </c>
      <c r="D620" s="8">
        <v>800</v>
      </c>
      <c r="E620" s="2" t="s">
        <v>4509</v>
      </c>
      <c r="F620" s="10">
        <v>318.33999999999997</v>
      </c>
      <c r="G620" s="11">
        <f>(CV)*318.34</f>
        <v>318.33999999999997</v>
      </c>
    </row>
    <row r="621" spans="1:7" x14ac:dyDescent="0.2">
      <c r="A621" s="8" t="s">
        <v>2838</v>
      </c>
      <c r="B621" s="8">
        <v>33</v>
      </c>
      <c r="C621" s="8">
        <v>900</v>
      </c>
      <c r="D621" s="8">
        <v>900</v>
      </c>
      <c r="E621" s="2" t="s">
        <v>2839</v>
      </c>
      <c r="F621" s="10">
        <v>338.04</v>
      </c>
      <c r="G621" s="11">
        <f>(CV)*338.04</f>
        <v>338.04</v>
      </c>
    </row>
    <row r="622" spans="1:7" x14ac:dyDescent="0.2">
      <c r="A622" s="8" t="s">
        <v>4510</v>
      </c>
      <c r="B622" s="8">
        <v>33</v>
      </c>
      <c r="C622" s="8">
        <v>900</v>
      </c>
      <c r="D622" s="8">
        <v>900</v>
      </c>
      <c r="E622" s="2" t="s">
        <v>4511</v>
      </c>
      <c r="F622" s="10">
        <v>338.04</v>
      </c>
      <c r="G622" s="11">
        <f>(CV)*338.04</f>
        <v>338.04</v>
      </c>
    </row>
    <row r="623" spans="1:7" x14ac:dyDescent="0.2">
      <c r="A623" s="8" t="s">
        <v>2840</v>
      </c>
      <c r="B623" s="8">
        <v>33</v>
      </c>
      <c r="C623" s="8">
        <v>900</v>
      </c>
      <c r="D623" s="8">
        <v>1000</v>
      </c>
      <c r="E623" s="2" t="s">
        <v>2841</v>
      </c>
      <c r="F623" s="10">
        <v>359.89</v>
      </c>
      <c r="G623" s="11">
        <f>(CV)*359.89</f>
        <v>359.89</v>
      </c>
    </row>
    <row r="624" spans="1:7" x14ac:dyDescent="0.2">
      <c r="A624" s="8" t="s">
        <v>4512</v>
      </c>
      <c r="B624" s="8">
        <v>33</v>
      </c>
      <c r="C624" s="8">
        <v>900</v>
      </c>
      <c r="D624" s="8">
        <v>1000</v>
      </c>
      <c r="E624" s="2" t="s">
        <v>4513</v>
      </c>
      <c r="F624" s="10">
        <v>359.89</v>
      </c>
      <c r="G624" s="11">
        <f>(CV)*359.89</f>
        <v>359.89</v>
      </c>
    </row>
    <row r="625" spans="1:7" x14ac:dyDescent="0.2">
      <c r="A625" s="8" t="s">
        <v>2842</v>
      </c>
      <c r="B625" s="8">
        <v>33</v>
      </c>
      <c r="C625" s="8">
        <v>900</v>
      </c>
      <c r="D625" s="8">
        <v>1100</v>
      </c>
      <c r="E625" s="2" t="s">
        <v>2843</v>
      </c>
      <c r="F625" s="10">
        <v>383.02</v>
      </c>
      <c r="G625" s="11">
        <f>(CV)*383.02</f>
        <v>383.02</v>
      </c>
    </row>
    <row r="626" spans="1:7" x14ac:dyDescent="0.2">
      <c r="A626" s="8" t="s">
        <v>4514</v>
      </c>
      <c r="B626" s="8">
        <v>33</v>
      </c>
      <c r="C626" s="8">
        <v>900</v>
      </c>
      <c r="D626" s="8">
        <v>1100</v>
      </c>
      <c r="E626" s="2" t="s">
        <v>4515</v>
      </c>
      <c r="F626" s="10">
        <v>383.02</v>
      </c>
      <c r="G626" s="11">
        <f>(CV)*383.02</f>
        <v>383.02</v>
      </c>
    </row>
    <row r="627" spans="1:7" x14ac:dyDescent="0.2">
      <c r="A627" s="8" t="s">
        <v>2844</v>
      </c>
      <c r="B627" s="8">
        <v>33</v>
      </c>
      <c r="C627" s="8">
        <v>900</v>
      </c>
      <c r="D627" s="8">
        <v>1200</v>
      </c>
      <c r="E627" s="2" t="s">
        <v>2845</v>
      </c>
      <c r="F627" s="10">
        <v>407.72</v>
      </c>
      <c r="G627" s="11">
        <f>(CV)*407.72</f>
        <v>407.72</v>
      </c>
    </row>
    <row r="628" spans="1:7" x14ac:dyDescent="0.2">
      <c r="A628" s="8" t="s">
        <v>4516</v>
      </c>
      <c r="B628" s="8">
        <v>33</v>
      </c>
      <c r="C628" s="8">
        <v>900</v>
      </c>
      <c r="D628" s="8">
        <v>1200</v>
      </c>
      <c r="E628" s="2" t="s">
        <v>4517</v>
      </c>
      <c r="F628" s="10">
        <v>407.72</v>
      </c>
      <c r="G628" s="11">
        <f>(CV)*407.72</f>
        <v>407.72</v>
      </c>
    </row>
    <row r="629" spans="1:7" x14ac:dyDescent="0.2">
      <c r="A629" s="8" t="s">
        <v>2846</v>
      </c>
      <c r="B629" s="8">
        <v>33</v>
      </c>
      <c r="C629" s="8">
        <v>900</v>
      </c>
      <c r="D629" s="8">
        <v>1400</v>
      </c>
      <c r="E629" s="2" t="s">
        <v>2847</v>
      </c>
      <c r="F629" s="10">
        <v>451.13</v>
      </c>
      <c r="G629" s="11">
        <f>(CV)*451.13</f>
        <v>451.13</v>
      </c>
    </row>
    <row r="630" spans="1:7" x14ac:dyDescent="0.2">
      <c r="A630" s="8" t="s">
        <v>4518</v>
      </c>
      <c r="B630" s="8">
        <v>33</v>
      </c>
      <c r="C630" s="8">
        <v>900</v>
      </c>
      <c r="D630" s="8">
        <v>1400</v>
      </c>
      <c r="E630" s="2" t="s">
        <v>4519</v>
      </c>
      <c r="F630" s="10">
        <v>451.13</v>
      </c>
      <c r="G630" s="11">
        <f>(CV)*451.13</f>
        <v>451.13</v>
      </c>
    </row>
    <row r="631" spans="1:7" x14ac:dyDescent="0.2">
      <c r="A631" s="8" t="s">
        <v>2848</v>
      </c>
      <c r="B631" s="8">
        <v>33</v>
      </c>
      <c r="C631" s="8">
        <v>900</v>
      </c>
      <c r="D631" s="8">
        <v>1600</v>
      </c>
      <c r="E631" s="2" t="s">
        <v>2849</v>
      </c>
      <c r="F631" s="10">
        <v>493.25</v>
      </c>
      <c r="G631" s="11">
        <f>(CV)*493.25</f>
        <v>493.25</v>
      </c>
    </row>
    <row r="632" spans="1:7" x14ac:dyDescent="0.2">
      <c r="A632" s="8" t="s">
        <v>4520</v>
      </c>
      <c r="B632" s="8">
        <v>33</v>
      </c>
      <c r="C632" s="8">
        <v>900</v>
      </c>
      <c r="D632" s="8">
        <v>1600</v>
      </c>
      <c r="E632" s="2" t="s">
        <v>4521</v>
      </c>
      <c r="F632" s="10">
        <v>493.25</v>
      </c>
      <c r="G632" s="11">
        <f>(CV)*493.25</f>
        <v>493.25</v>
      </c>
    </row>
    <row r="633" spans="1:7" x14ac:dyDescent="0.2">
      <c r="A633" s="8" t="s">
        <v>2850</v>
      </c>
      <c r="B633" s="8">
        <v>33</v>
      </c>
      <c r="C633" s="8">
        <v>900</v>
      </c>
      <c r="D633" s="8">
        <v>1800</v>
      </c>
      <c r="E633" s="2" t="s">
        <v>2851</v>
      </c>
      <c r="F633" s="10">
        <v>539.36</v>
      </c>
      <c r="G633" s="11">
        <f>(CV)*539.36</f>
        <v>539.36</v>
      </c>
    </row>
    <row r="634" spans="1:7" x14ac:dyDescent="0.2">
      <c r="A634" s="8" t="s">
        <v>4522</v>
      </c>
      <c r="B634" s="8">
        <v>33</v>
      </c>
      <c r="C634" s="8">
        <v>900</v>
      </c>
      <c r="D634" s="8">
        <v>1800</v>
      </c>
      <c r="E634" s="2" t="s">
        <v>4523</v>
      </c>
      <c r="F634" s="10">
        <v>539.36</v>
      </c>
      <c r="G634" s="11">
        <f>(CV)*539.36</f>
        <v>539.36</v>
      </c>
    </row>
    <row r="635" spans="1:7" x14ac:dyDescent="0.2">
      <c r="A635" s="8" t="s">
        <v>2852</v>
      </c>
      <c r="B635" s="8">
        <v>33</v>
      </c>
      <c r="C635" s="8">
        <v>900</v>
      </c>
      <c r="D635" s="8">
        <v>2000</v>
      </c>
      <c r="E635" s="2" t="s">
        <v>2853</v>
      </c>
      <c r="F635" s="10">
        <v>580.34</v>
      </c>
      <c r="G635" s="11">
        <f>(CV)*580.34</f>
        <v>580.34</v>
      </c>
    </row>
    <row r="636" spans="1:7" x14ac:dyDescent="0.2">
      <c r="A636" s="8" t="s">
        <v>4524</v>
      </c>
      <c r="B636" s="8">
        <v>33</v>
      </c>
      <c r="C636" s="8">
        <v>900</v>
      </c>
      <c r="D636" s="8">
        <v>2000</v>
      </c>
      <c r="E636" s="2" t="s">
        <v>4525</v>
      </c>
      <c r="F636" s="10">
        <v>580.34</v>
      </c>
      <c r="G636" s="11">
        <f>(CV)*580.34</f>
        <v>580.34</v>
      </c>
    </row>
    <row r="637" spans="1:7" x14ac:dyDescent="0.2">
      <c r="A637" s="8" t="s">
        <v>2854</v>
      </c>
      <c r="B637" s="8">
        <v>33</v>
      </c>
      <c r="C637" s="8">
        <v>900</v>
      </c>
      <c r="D637" s="8">
        <v>2300</v>
      </c>
      <c r="E637" s="2" t="s">
        <v>2855</v>
      </c>
      <c r="F637" s="10">
        <v>624</v>
      </c>
      <c r="G637" s="11">
        <f>(CV)*624</f>
        <v>624</v>
      </c>
    </row>
    <row r="638" spans="1:7" x14ac:dyDescent="0.2">
      <c r="A638" s="8" t="s">
        <v>4526</v>
      </c>
      <c r="B638" s="8">
        <v>33</v>
      </c>
      <c r="C638" s="8">
        <v>900</v>
      </c>
      <c r="D638" s="8">
        <v>2300</v>
      </c>
      <c r="E638" s="2" t="s">
        <v>4527</v>
      </c>
      <c r="F638" s="10">
        <v>624</v>
      </c>
      <c r="G638" s="11">
        <f>(CV)*624</f>
        <v>624</v>
      </c>
    </row>
    <row r="639" spans="1:7" x14ac:dyDescent="0.2">
      <c r="A639" s="8" t="s">
        <v>2856</v>
      </c>
      <c r="B639" s="8">
        <v>33</v>
      </c>
      <c r="C639" s="8">
        <v>900</v>
      </c>
      <c r="D639" s="8">
        <v>2600</v>
      </c>
      <c r="E639" s="2" t="s">
        <v>2857</v>
      </c>
      <c r="F639" s="10">
        <v>687.87</v>
      </c>
      <c r="G639" s="11">
        <f>(CV)*687.87</f>
        <v>687.87</v>
      </c>
    </row>
    <row r="640" spans="1:7" x14ac:dyDescent="0.2">
      <c r="A640" s="8" t="s">
        <v>4528</v>
      </c>
      <c r="B640" s="8">
        <v>33</v>
      </c>
      <c r="C640" s="8">
        <v>900</v>
      </c>
      <c r="D640" s="8">
        <v>2600</v>
      </c>
      <c r="E640" s="2" t="s">
        <v>4529</v>
      </c>
      <c r="F640" s="10">
        <v>687.87</v>
      </c>
      <c r="G640" s="11">
        <f>(CV)*687.87</f>
        <v>687.87</v>
      </c>
    </row>
    <row r="641" spans="1:7" x14ac:dyDescent="0.2">
      <c r="A641" s="8" t="s">
        <v>2858</v>
      </c>
      <c r="B641" s="8">
        <v>33</v>
      </c>
      <c r="C641" s="8">
        <v>900</v>
      </c>
      <c r="D641" s="8">
        <v>3000</v>
      </c>
      <c r="E641" s="2" t="s">
        <v>2859</v>
      </c>
      <c r="F641" s="10">
        <v>758.59</v>
      </c>
      <c r="G641" s="11">
        <f>(CV)*758.59</f>
        <v>758.59</v>
      </c>
    </row>
    <row r="642" spans="1:7" x14ac:dyDescent="0.2">
      <c r="A642" s="8" t="s">
        <v>4530</v>
      </c>
      <c r="B642" s="8">
        <v>33</v>
      </c>
      <c r="C642" s="8">
        <v>900</v>
      </c>
      <c r="D642" s="8">
        <v>3000</v>
      </c>
      <c r="E642" s="2" t="s">
        <v>4531</v>
      </c>
      <c r="F642" s="10">
        <v>758.59</v>
      </c>
      <c r="G642" s="11">
        <f>(CV)*758.59</f>
        <v>758.59</v>
      </c>
    </row>
    <row r="643" spans="1:7" x14ac:dyDescent="0.2">
      <c r="A643" s="8" t="s">
        <v>2860</v>
      </c>
      <c r="B643" s="8">
        <v>44</v>
      </c>
      <c r="C643" s="8">
        <v>200</v>
      </c>
      <c r="D643" s="8">
        <v>600</v>
      </c>
      <c r="E643" s="2" t="s">
        <v>2861</v>
      </c>
      <c r="F643" s="10">
        <v>174.78</v>
      </c>
      <c r="G643" s="11">
        <f>(CV)*174.78</f>
        <v>174.78</v>
      </c>
    </row>
    <row r="644" spans="1:7" x14ac:dyDescent="0.2">
      <c r="A644" s="8" t="s">
        <v>2862</v>
      </c>
      <c r="B644" s="8">
        <v>44</v>
      </c>
      <c r="C644" s="8">
        <v>200</v>
      </c>
      <c r="D644" s="8">
        <v>700</v>
      </c>
      <c r="E644" s="2" t="s">
        <v>2863</v>
      </c>
      <c r="F644" s="10">
        <v>187.43</v>
      </c>
      <c r="G644" s="11">
        <f>(CV)*187.43</f>
        <v>187.43</v>
      </c>
    </row>
    <row r="645" spans="1:7" x14ac:dyDescent="0.2">
      <c r="A645" s="8" t="s">
        <v>2864</v>
      </c>
      <c r="B645" s="8">
        <v>44</v>
      </c>
      <c r="C645" s="8">
        <v>200</v>
      </c>
      <c r="D645" s="8">
        <v>800</v>
      </c>
      <c r="E645" s="2" t="s">
        <v>2865</v>
      </c>
      <c r="F645" s="10">
        <v>200.89</v>
      </c>
      <c r="G645" s="11">
        <f>(CV)*200.89</f>
        <v>200.89</v>
      </c>
    </row>
    <row r="646" spans="1:7" x14ac:dyDescent="0.2">
      <c r="A646" s="8" t="s">
        <v>2866</v>
      </c>
      <c r="B646" s="8">
        <v>44</v>
      </c>
      <c r="C646" s="8">
        <v>200</v>
      </c>
      <c r="D646" s="8">
        <v>900</v>
      </c>
      <c r="E646" s="2" t="s">
        <v>2867</v>
      </c>
      <c r="F646" s="10">
        <v>213.45</v>
      </c>
      <c r="G646" s="11">
        <f>(CV)*213.45</f>
        <v>213.45</v>
      </c>
    </row>
    <row r="647" spans="1:7" x14ac:dyDescent="0.2">
      <c r="A647" s="8" t="s">
        <v>2868</v>
      </c>
      <c r="B647" s="8">
        <v>44</v>
      </c>
      <c r="C647" s="8">
        <v>200</v>
      </c>
      <c r="D647" s="8">
        <v>1000</v>
      </c>
      <c r="E647" s="2" t="s">
        <v>2869</v>
      </c>
      <c r="F647" s="10">
        <v>226.61</v>
      </c>
      <c r="G647" s="11">
        <f>(CV)*226.61</f>
        <v>226.61</v>
      </c>
    </row>
    <row r="648" spans="1:7" x14ac:dyDescent="0.2">
      <c r="A648" s="8" t="s">
        <v>2870</v>
      </c>
      <c r="B648" s="8">
        <v>44</v>
      </c>
      <c r="C648" s="8">
        <v>200</v>
      </c>
      <c r="D648" s="8">
        <v>1100</v>
      </c>
      <c r="E648" s="2" t="s">
        <v>2871</v>
      </c>
      <c r="F648" s="10">
        <v>239.41</v>
      </c>
      <c r="G648" s="11">
        <f>(CV)*239.41</f>
        <v>239.41</v>
      </c>
    </row>
    <row r="649" spans="1:7" x14ac:dyDescent="0.2">
      <c r="A649" s="8" t="s">
        <v>2872</v>
      </c>
      <c r="B649" s="8">
        <v>44</v>
      </c>
      <c r="C649" s="8">
        <v>200</v>
      </c>
      <c r="D649" s="8">
        <v>1200</v>
      </c>
      <c r="E649" s="2" t="s">
        <v>2873</v>
      </c>
      <c r="F649" s="10">
        <v>251.54</v>
      </c>
      <c r="G649" s="11">
        <f>(CV)*251.54</f>
        <v>251.54</v>
      </c>
    </row>
    <row r="650" spans="1:7" x14ac:dyDescent="0.2">
      <c r="A650" s="8" t="s">
        <v>2874</v>
      </c>
      <c r="B650" s="8">
        <v>44</v>
      </c>
      <c r="C650" s="8">
        <v>200</v>
      </c>
      <c r="D650" s="8">
        <v>1400</v>
      </c>
      <c r="E650" s="2" t="s">
        <v>2875</v>
      </c>
      <c r="F650" s="10">
        <v>277.26</v>
      </c>
      <c r="G650" s="11">
        <f>(CV)*277.26</f>
        <v>277.26</v>
      </c>
    </row>
    <row r="651" spans="1:7" x14ac:dyDescent="0.2">
      <c r="A651" s="8" t="s">
        <v>2876</v>
      </c>
      <c r="B651" s="8">
        <v>44</v>
      </c>
      <c r="C651" s="8">
        <v>200</v>
      </c>
      <c r="D651" s="8">
        <v>1600</v>
      </c>
      <c r="E651" s="2" t="s">
        <v>2877</v>
      </c>
      <c r="F651" s="10">
        <v>302.93</v>
      </c>
      <c r="G651" s="11">
        <f>(CV)*302.93</f>
        <v>302.93</v>
      </c>
    </row>
    <row r="652" spans="1:7" x14ac:dyDescent="0.2">
      <c r="A652" s="8" t="s">
        <v>2878</v>
      </c>
      <c r="B652" s="8">
        <v>44</v>
      </c>
      <c r="C652" s="8">
        <v>200</v>
      </c>
      <c r="D652" s="8">
        <v>1800</v>
      </c>
      <c r="E652" s="2" t="s">
        <v>2879</v>
      </c>
      <c r="F652" s="10">
        <v>329.1</v>
      </c>
      <c r="G652" s="11">
        <f>(CV)*329.1</f>
        <v>329.1</v>
      </c>
    </row>
    <row r="653" spans="1:7" x14ac:dyDescent="0.2">
      <c r="A653" s="8" t="s">
        <v>2880</v>
      </c>
      <c r="B653" s="8">
        <v>44</v>
      </c>
      <c r="C653" s="8">
        <v>200</v>
      </c>
      <c r="D653" s="8">
        <v>2000</v>
      </c>
      <c r="E653" s="2" t="s">
        <v>2881</v>
      </c>
      <c r="F653" s="10">
        <v>354.62</v>
      </c>
      <c r="G653" s="11">
        <f>(CV)*354.62</f>
        <v>354.62</v>
      </c>
    </row>
    <row r="654" spans="1:7" x14ac:dyDescent="0.2">
      <c r="A654" s="8" t="s">
        <v>2882</v>
      </c>
      <c r="B654" s="8">
        <v>44</v>
      </c>
      <c r="C654" s="8">
        <v>200</v>
      </c>
      <c r="D654" s="8">
        <v>2300</v>
      </c>
      <c r="E654" s="2" t="s">
        <v>2883</v>
      </c>
      <c r="F654" s="10">
        <v>393.29</v>
      </c>
      <c r="G654" s="11">
        <f>(CV)*393.29</f>
        <v>393.29</v>
      </c>
    </row>
    <row r="655" spans="1:7" x14ac:dyDescent="0.2">
      <c r="A655" s="8" t="s">
        <v>2884</v>
      </c>
      <c r="B655" s="8">
        <v>44</v>
      </c>
      <c r="C655" s="8">
        <v>200</v>
      </c>
      <c r="D655" s="8">
        <v>2600</v>
      </c>
      <c r="E655" s="2" t="s">
        <v>2885</v>
      </c>
      <c r="F655" s="10">
        <v>431.59</v>
      </c>
      <c r="G655" s="11">
        <f>(CV)*431.59</f>
        <v>431.59</v>
      </c>
    </row>
    <row r="656" spans="1:7" x14ac:dyDescent="0.2">
      <c r="A656" s="8" t="s">
        <v>2886</v>
      </c>
      <c r="B656" s="8">
        <v>44</v>
      </c>
      <c r="C656" s="8">
        <v>200</v>
      </c>
      <c r="D656" s="8">
        <v>3000</v>
      </c>
      <c r="E656" s="2" t="s">
        <v>2887</v>
      </c>
      <c r="F656" s="10">
        <v>482.98</v>
      </c>
      <c r="G656" s="11">
        <f>(CV)*482.98</f>
        <v>482.98</v>
      </c>
    </row>
    <row r="657" x14ac:dyDescent="0.2"/>
    <row r="658" x14ac:dyDescent="0.2"/>
  </sheetData>
  <autoFilter ref="A10:J10"/>
  <hyperlinks>
    <hyperlink ref="C3" r:id="rId1"/>
  </hyperlinks>
  <pageMargins left="0.7" right="0.7" top="0.75" bottom="0.75" header="0.3" footer="0.3"/>
  <ignoredErrors>
    <ignoredError sqref="A11:A43 A45:A104 A105:A139 A141:A179 A181:A246 A247:A283 A284:A332 A333:A395 A396:A453 A455:A489 A491:A533 A535:A579 A581:A641 A643:A65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workbookViewId="0">
      <pane ySplit="10" topLeftCell="A11" activePane="bottomLeft" state="frozen"/>
      <selection activeCell="A2" sqref="A2"/>
      <selection pane="bottomLeft" activeCell="G9" sqref="G9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85546875" style="2" bestFit="1" customWidth="1"/>
    <col min="4" max="4" width="11.42578125" style="2" customWidth="1"/>
    <col min="5" max="5" width="25.85546875" style="2" bestFit="1" customWidth="1"/>
    <col min="6" max="6" width="18.85546875" style="2" bestFit="1" customWidth="1"/>
    <col min="7" max="7" width="21.28515625" style="2" customWidth="1"/>
    <col min="8" max="8" width="18.140625" style="2" hidden="1" customWidth="1"/>
    <col min="9" max="9" width="19.28515625" style="2" hidden="1" customWidth="1"/>
    <col min="10" max="10" width="20.42578125" style="2" hidden="1" customWidth="1"/>
    <col min="11" max="12" width="9.140625" style="2" customWidth="1"/>
    <col min="13" max="15" width="0" style="2" hidden="1"/>
    <col min="16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5348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ht="21" customHeight="1" x14ac:dyDescent="0.2">
      <c r="A9" s="1" t="s">
        <v>5331</v>
      </c>
      <c r="F9" s="3" t="s">
        <v>5336</v>
      </c>
      <c r="G9" s="4">
        <v>0</v>
      </c>
      <c r="H9" s="5">
        <f>(1-G9)</f>
        <v>1</v>
      </c>
      <c r="I9" s="5"/>
      <c r="J9" s="5"/>
    </row>
    <row r="10" spans="1:11" s="8" customFormat="1" x14ac:dyDescent="0.2">
      <c r="A10" s="6" t="s">
        <v>5326</v>
      </c>
      <c r="B10" s="6" t="s">
        <v>5332</v>
      </c>
      <c r="C10" s="6" t="s">
        <v>5333</v>
      </c>
      <c r="D10" s="6" t="s">
        <v>5334</v>
      </c>
      <c r="E10" s="6" t="s">
        <v>5327</v>
      </c>
      <c r="F10" s="6" t="s">
        <v>5329</v>
      </c>
      <c r="G10" s="7" t="s">
        <v>5330</v>
      </c>
      <c r="I10" s="8" t="s">
        <v>5261</v>
      </c>
      <c r="J10" s="8" t="s">
        <v>5260</v>
      </c>
    </row>
    <row r="11" spans="1:11" x14ac:dyDescent="0.2">
      <c r="A11" s="8" t="s">
        <v>496</v>
      </c>
      <c r="B11" s="8">
        <v>11</v>
      </c>
      <c r="C11" s="8">
        <v>300</v>
      </c>
      <c r="D11" s="9">
        <v>400</v>
      </c>
      <c r="E11" s="2" t="s">
        <v>497</v>
      </c>
      <c r="F11" s="10">
        <v>68.36</v>
      </c>
      <c r="G11" s="11">
        <f>(F_R_Comp)*68.36</f>
        <v>68.36</v>
      </c>
    </row>
    <row r="12" spans="1:11" x14ac:dyDescent="0.2">
      <c r="A12" s="8" t="s">
        <v>498</v>
      </c>
      <c r="B12" s="8">
        <v>11</v>
      </c>
      <c r="C12" s="8">
        <v>300</v>
      </c>
      <c r="D12" s="9">
        <v>500</v>
      </c>
      <c r="E12" s="2" t="s">
        <v>499</v>
      </c>
      <c r="F12" s="10">
        <v>72.150000000000006</v>
      </c>
      <c r="G12" s="11">
        <f>(F_R_Comp)*72.15</f>
        <v>72.150000000000006</v>
      </c>
    </row>
    <row r="13" spans="1:11" x14ac:dyDescent="0.2">
      <c r="A13" s="8" t="s">
        <v>500</v>
      </c>
      <c r="B13" s="8">
        <v>11</v>
      </c>
      <c r="C13" s="8">
        <v>300</v>
      </c>
      <c r="D13" s="9">
        <v>600</v>
      </c>
      <c r="E13" s="2" t="s">
        <v>501</v>
      </c>
      <c r="F13" s="10">
        <v>76.09</v>
      </c>
      <c r="G13" s="11">
        <f>(F_R_Comp)*76.09</f>
        <v>76.09</v>
      </c>
    </row>
    <row r="14" spans="1:11" x14ac:dyDescent="0.2">
      <c r="A14" s="8" t="s">
        <v>502</v>
      </c>
      <c r="B14" s="8">
        <v>11</v>
      </c>
      <c r="C14" s="8">
        <v>300</v>
      </c>
      <c r="D14" s="9">
        <v>700</v>
      </c>
      <c r="E14" s="2" t="s">
        <v>503</v>
      </c>
      <c r="F14" s="10">
        <v>79.77</v>
      </c>
      <c r="G14" s="11">
        <f>(F_R_Comp)*79.77</f>
        <v>79.77</v>
      </c>
    </row>
    <row r="15" spans="1:11" x14ac:dyDescent="0.2">
      <c r="A15" s="8" t="s">
        <v>504</v>
      </c>
      <c r="B15" s="8">
        <v>11</v>
      </c>
      <c r="C15" s="8">
        <v>300</v>
      </c>
      <c r="D15" s="9">
        <v>800</v>
      </c>
      <c r="E15" s="2" t="s">
        <v>505</v>
      </c>
      <c r="F15" s="10">
        <v>83.08</v>
      </c>
      <c r="G15" s="11">
        <f>(F_R_Comp)*83.08</f>
        <v>83.08</v>
      </c>
    </row>
    <row r="16" spans="1:11" x14ac:dyDescent="0.2">
      <c r="A16" s="8" t="s">
        <v>506</v>
      </c>
      <c r="B16" s="8">
        <v>11</v>
      </c>
      <c r="C16" s="8">
        <v>300</v>
      </c>
      <c r="D16" s="9">
        <v>900</v>
      </c>
      <c r="E16" s="2" t="s">
        <v>507</v>
      </c>
      <c r="F16" s="10">
        <v>88.2</v>
      </c>
      <c r="G16" s="11">
        <f>(F_R_Comp)*88.2</f>
        <v>88.2</v>
      </c>
    </row>
    <row r="17" spans="1:7" x14ac:dyDescent="0.2">
      <c r="A17" s="8" t="s">
        <v>508</v>
      </c>
      <c r="B17" s="8">
        <v>11</v>
      </c>
      <c r="C17" s="8">
        <v>300</v>
      </c>
      <c r="D17" s="9">
        <v>1000</v>
      </c>
      <c r="E17" s="2" t="s">
        <v>509</v>
      </c>
      <c r="F17" s="10">
        <v>92.55</v>
      </c>
      <c r="G17" s="11">
        <f>(F_R_Comp)*92.55</f>
        <v>92.55</v>
      </c>
    </row>
    <row r="18" spans="1:7" x14ac:dyDescent="0.2">
      <c r="A18" s="8" t="s">
        <v>510</v>
      </c>
      <c r="B18" s="8">
        <v>11</v>
      </c>
      <c r="C18" s="8">
        <v>300</v>
      </c>
      <c r="D18" s="9">
        <v>1100</v>
      </c>
      <c r="E18" s="2" t="s">
        <v>511</v>
      </c>
      <c r="F18" s="10">
        <v>99.6</v>
      </c>
      <c r="G18" s="11">
        <f>(F_R_Comp)*99.6</f>
        <v>99.6</v>
      </c>
    </row>
    <row r="19" spans="1:7" x14ac:dyDescent="0.2">
      <c r="A19" s="8" t="s">
        <v>512</v>
      </c>
      <c r="B19" s="8">
        <v>11</v>
      </c>
      <c r="C19" s="8">
        <v>300</v>
      </c>
      <c r="D19" s="9">
        <v>1200</v>
      </c>
      <c r="E19" s="2" t="s">
        <v>513</v>
      </c>
      <c r="F19" s="10">
        <v>104.88</v>
      </c>
      <c r="G19" s="11">
        <f>(F_R_Comp)*104.88</f>
        <v>104.88</v>
      </c>
    </row>
    <row r="20" spans="1:7" x14ac:dyDescent="0.2">
      <c r="A20" s="8" t="s">
        <v>514</v>
      </c>
      <c r="B20" s="8">
        <v>11</v>
      </c>
      <c r="C20" s="8">
        <v>300</v>
      </c>
      <c r="D20" s="9">
        <v>1400</v>
      </c>
      <c r="E20" s="2" t="s">
        <v>515</v>
      </c>
      <c r="F20" s="10">
        <v>125.12</v>
      </c>
      <c r="G20" s="11">
        <f>(F_R_Comp)*125.12</f>
        <v>125.12</v>
      </c>
    </row>
    <row r="21" spans="1:7" x14ac:dyDescent="0.2">
      <c r="A21" s="8" t="s">
        <v>516</v>
      </c>
      <c r="B21" s="8">
        <v>11</v>
      </c>
      <c r="C21" s="8">
        <v>300</v>
      </c>
      <c r="D21" s="9">
        <v>1600</v>
      </c>
      <c r="E21" s="2" t="s">
        <v>517</v>
      </c>
      <c r="F21" s="10">
        <v>135.63</v>
      </c>
      <c r="G21" s="11">
        <f>(F_R_Comp)*135.63</f>
        <v>135.63</v>
      </c>
    </row>
    <row r="22" spans="1:7" x14ac:dyDescent="0.2">
      <c r="A22" s="8" t="s">
        <v>518</v>
      </c>
      <c r="B22" s="8">
        <v>11</v>
      </c>
      <c r="C22" s="8">
        <v>300</v>
      </c>
      <c r="D22" s="9">
        <v>1800</v>
      </c>
      <c r="E22" s="2" t="s">
        <v>519</v>
      </c>
      <c r="F22" s="10">
        <v>150.59</v>
      </c>
      <c r="G22" s="11">
        <f>(F_R_Comp)*150.59</f>
        <v>150.59</v>
      </c>
    </row>
    <row r="23" spans="1:7" x14ac:dyDescent="0.2">
      <c r="A23" s="8" t="s">
        <v>520</v>
      </c>
      <c r="B23" s="8">
        <v>11</v>
      </c>
      <c r="C23" s="8">
        <v>300</v>
      </c>
      <c r="D23" s="9">
        <v>2000</v>
      </c>
      <c r="E23" s="2" t="s">
        <v>521</v>
      </c>
      <c r="F23" s="10">
        <v>161.11000000000001</v>
      </c>
      <c r="G23" s="11">
        <f>(F_R_Comp)*161.11</f>
        <v>161.11000000000001</v>
      </c>
    </row>
    <row r="24" spans="1:7" x14ac:dyDescent="0.2">
      <c r="A24" s="8" t="s">
        <v>522</v>
      </c>
      <c r="B24" s="8">
        <v>11</v>
      </c>
      <c r="C24" s="8">
        <v>300</v>
      </c>
      <c r="D24" s="9">
        <v>2300</v>
      </c>
      <c r="E24" s="2" t="s">
        <v>523</v>
      </c>
      <c r="F24" s="10">
        <v>179</v>
      </c>
      <c r="G24" s="11">
        <f>(F_R_Comp)*179</f>
        <v>179</v>
      </c>
    </row>
    <row r="25" spans="1:7" x14ac:dyDescent="0.2">
      <c r="A25" s="8" t="s">
        <v>524</v>
      </c>
      <c r="B25" s="8">
        <v>11</v>
      </c>
      <c r="C25" s="8">
        <v>300</v>
      </c>
      <c r="D25" s="9">
        <v>2600</v>
      </c>
      <c r="E25" s="2" t="s">
        <v>525</v>
      </c>
      <c r="F25" s="10">
        <v>194.11</v>
      </c>
      <c r="G25" s="11">
        <f>(F_R_Comp)*194.11</f>
        <v>194.11</v>
      </c>
    </row>
    <row r="26" spans="1:7" x14ac:dyDescent="0.2">
      <c r="A26" s="8" t="s">
        <v>526</v>
      </c>
      <c r="B26" s="8">
        <v>11</v>
      </c>
      <c r="C26" s="8">
        <v>300</v>
      </c>
      <c r="D26" s="9">
        <v>3000</v>
      </c>
      <c r="E26" s="2" t="s">
        <v>527</v>
      </c>
      <c r="F26" s="10">
        <v>222.51</v>
      </c>
      <c r="G26" s="11">
        <f>(F_R_Comp)*222.51</f>
        <v>222.51</v>
      </c>
    </row>
    <row r="27" spans="1:7" x14ac:dyDescent="0.2">
      <c r="A27" s="8" t="s">
        <v>528</v>
      </c>
      <c r="B27" s="8">
        <v>11</v>
      </c>
      <c r="C27" s="8">
        <v>400</v>
      </c>
      <c r="D27" s="9">
        <v>400</v>
      </c>
      <c r="E27" s="2" t="s">
        <v>529</v>
      </c>
      <c r="F27" s="10">
        <v>73.88</v>
      </c>
      <c r="G27" s="11">
        <f>(F_R_Comp)*73.88</f>
        <v>73.88</v>
      </c>
    </row>
    <row r="28" spans="1:7" x14ac:dyDescent="0.2">
      <c r="A28" s="8" t="s">
        <v>530</v>
      </c>
      <c r="B28" s="8">
        <v>11</v>
      </c>
      <c r="C28" s="8">
        <v>400</v>
      </c>
      <c r="D28" s="9">
        <v>500</v>
      </c>
      <c r="E28" s="2" t="s">
        <v>531</v>
      </c>
      <c r="F28" s="10">
        <v>77.83</v>
      </c>
      <c r="G28" s="11">
        <f>(F_R_Comp)*77.83</f>
        <v>77.83</v>
      </c>
    </row>
    <row r="29" spans="1:7" x14ac:dyDescent="0.2">
      <c r="A29" s="8" t="s">
        <v>532</v>
      </c>
      <c r="B29" s="8">
        <v>11</v>
      </c>
      <c r="C29" s="8">
        <v>400</v>
      </c>
      <c r="D29" s="9">
        <v>600</v>
      </c>
      <c r="E29" s="2" t="s">
        <v>533</v>
      </c>
      <c r="F29" s="10">
        <v>83.08</v>
      </c>
      <c r="G29" s="11">
        <f>(F_R_Comp)*83.08</f>
        <v>83.08</v>
      </c>
    </row>
    <row r="30" spans="1:7" x14ac:dyDescent="0.2">
      <c r="A30" s="8" t="s">
        <v>534</v>
      </c>
      <c r="B30" s="8">
        <v>11</v>
      </c>
      <c r="C30" s="8">
        <v>400</v>
      </c>
      <c r="D30" s="9">
        <v>700</v>
      </c>
      <c r="E30" s="2" t="s">
        <v>535</v>
      </c>
      <c r="F30" s="10">
        <v>87.91</v>
      </c>
      <c r="G30" s="11">
        <f>(F_R_Comp)*87.91</f>
        <v>87.91</v>
      </c>
    </row>
    <row r="31" spans="1:7" x14ac:dyDescent="0.2">
      <c r="A31" s="8" t="s">
        <v>536</v>
      </c>
      <c r="B31" s="8">
        <v>11</v>
      </c>
      <c r="C31" s="8">
        <v>400</v>
      </c>
      <c r="D31" s="9">
        <v>800</v>
      </c>
      <c r="E31" s="2" t="s">
        <v>537</v>
      </c>
      <c r="F31" s="10">
        <v>92.55</v>
      </c>
      <c r="G31" s="11">
        <f>(F_R_Comp)*92.55</f>
        <v>92.55</v>
      </c>
    </row>
    <row r="32" spans="1:7" x14ac:dyDescent="0.2">
      <c r="A32" s="8" t="s">
        <v>538</v>
      </c>
      <c r="B32" s="8">
        <v>11</v>
      </c>
      <c r="C32" s="8">
        <v>400</v>
      </c>
      <c r="D32" s="9">
        <v>900</v>
      </c>
      <c r="E32" s="2" t="s">
        <v>539</v>
      </c>
      <c r="F32" s="10">
        <v>98.72</v>
      </c>
      <c r="G32" s="11">
        <f>(F_R_Comp)*98.72</f>
        <v>98.72</v>
      </c>
    </row>
    <row r="33" spans="1:7" x14ac:dyDescent="0.2">
      <c r="A33" s="8" t="s">
        <v>540</v>
      </c>
      <c r="B33" s="8">
        <v>11</v>
      </c>
      <c r="C33" s="8">
        <v>400</v>
      </c>
      <c r="D33" s="9">
        <v>1000</v>
      </c>
      <c r="E33" s="2" t="s">
        <v>541</v>
      </c>
      <c r="F33" s="10">
        <v>103.27</v>
      </c>
      <c r="G33" s="11">
        <f>(F_R_Comp)*103.27</f>
        <v>103.27</v>
      </c>
    </row>
    <row r="34" spans="1:7" x14ac:dyDescent="0.2">
      <c r="A34" s="8" t="s">
        <v>542</v>
      </c>
      <c r="B34" s="8">
        <v>11</v>
      </c>
      <c r="C34" s="8">
        <v>400</v>
      </c>
      <c r="D34" s="9">
        <v>1100</v>
      </c>
      <c r="E34" s="2" t="s">
        <v>543</v>
      </c>
      <c r="F34" s="10">
        <v>111.71</v>
      </c>
      <c r="G34" s="11">
        <f>(F_R_Comp)*111.71</f>
        <v>111.71</v>
      </c>
    </row>
    <row r="35" spans="1:7" x14ac:dyDescent="0.2">
      <c r="A35" s="8" t="s">
        <v>544</v>
      </c>
      <c r="B35" s="8">
        <v>11</v>
      </c>
      <c r="C35" s="8">
        <v>400</v>
      </c>
      <c r="D35" s="9">
        <v>1200</v>
      </c>
      <c r="E35" s="2" t="s">
        <v>545</v>
      </c>
      <c r="F35" s="10">
        <v>118.02</v>
      </c>
      <c r="G35" s="11">
        <f>(F_R_Comp)*118.02</f>
        <v>118.02</v>
      </c>
    </row>
    <row r="36" spans="1:7" x14ac:dyDescent="0.2">
      <c r="A36" s="8" t="s">
        <v>546</v>
      </c>
      <c r="B36" s="8">
        <v>11</v>
      </c>
      <c r="C36" s="8">
        <v>400</v>
      </c>
      <c r="D36" s="9">
        <v>1400</v>
      </c>
      <c r="E36" s="2" t="s">
        <v>547</v>
      </c>
      <c r="F36" s="10">
        <v>140.47999999999999</v>
      </c>
      <c r="G36" s="11">
        <f>(F_R_Comp)*140.48</f>
        <v>140.47999999999999</v>
      </c>
    </row>
    <row r="37" spans="1:7" x14ac:dyDescent="0.2">
      <c r="A37" s="8" t="s">
        <v>548</v>
      </c>
      <c r="B37" s="8">
        <v>11</v>
      </c>
      <c r="C37" s="8">
        <v>400</v>
      </c>
      <c r="D37" s="9">
        <v>1600</v>
      </c>
      <c r="E37" s="2" t="s">
        <v>549</v>
      </c>
      <c r="F37" s="10">
        <v>152.57</v>
      </c>
      <c r="G37" s="11">
        <f>(F_R_Comp)*152.57</f>
        <v>152.57</v>
      </c>
    </row>
    <row r="38" spans="1:7" x14ac:dyDescent="0.2">
      <c r="A38" s="8" t="s">
        <v>550</v>
      </c>
      <c r="B38" s="8">
        <v>11</v>
      </c>
      <c r="C38" s="8">
        <v>400</v>
      </c>
      <c r="D38" s="9">
        <v>1800</v>
      </c>
      <c r="E38" s="2" t="s">
        <v>551</v>
      </c>
      <c r="F38" s="10">
        <v>169.96</v>
      </c>
      <c r="G38" s="11">
        <f>(F_R_Comp)*169.96</f>
        <v>169.96</v>
      </c>
    </row>
    <row r="39" spans="1:7" x14ac:dyDescent="0.2">
      <c r="A39" s="8" t="s">
        <v>552</v>
      </c>
      <c r="B39" s="8">
        <v>11</v>
      </c>
      <c r="C39" s="8">
        <v>400</v>
      </c>
      <c r="D39" s="9">
        <v>2000</v>
      </c>
      <c r="E39" s="2" t="s">
        <v>553</v>
      </c>
      <c r="F39" s="10">
        <v>182.05</v>
      </c>
      <c r="G39" s="11">
        <f>(F_R_Comp)*182.05</f>
        <v>182.05</v>
      </c>
    </row>
    <row r="40" spans="1:7" x14ac:dyDescent="0.2">
      <c r="A40" s="8" t="s">
        <v>554</v>
      </c>
      <c r="B40" s="8">
        <v>11</v>
      </c>
      <c r="C40" s="8">
        <v>400</v>
      </c>
      <c r="D40" s="9">
        <v>2300</v>
      </c>
      <c r="E40" s="2" t="s">
        <v>555</v>
      </c>
      <c r="F40" s="10">
        <v>203.15</v>
      </c>
      <c r="G40" s="11">
        <f>(F_R_Comp)*203.15</f>
        <v>203.15</v>
      </c>
    </row>
    <row r="41" spans="1:7" x14ac:dyDescent="0.2">
      <c r="A41" s="8" t="s">
        <v>556</v>
      </c>
      <c r="B41" s="8">
        <v>11</v>
      </c>
      <c r="C41" s="8">
        <v>400</v>
      </c>
      <c r="D41" s="9">
        <v>2600</v>
      </c>
      <c r="E41" s="2" t="s">
        <v>557</v>
      </c>
      <c r="F41" s="10">
        <v>224.46</v>
      </c>
      <c r="G41" s="11">
        <f>(F_R_Comp)*224.46</f>
        <v>224.46</v>
      </c>
    </row>
    <row r="42" spans="1:7" x14ac:dyDescent="0.2">
      <c r="A42" s="8" t="s">
        <v>558</v>
      </c>
      <c r="B42" s="8">
        <v>11</v>
      </c>
      <c r="C42" s="8">
        <v>400</v>
      </c>
      <c r="D42" s="9">
        <v>3000</v>
      </c>
      <c r="E42" s="2" t="s">
        <v>559</v>
      </c>
      <c r="F42" s="10">
        <v>253.93</v>
      </c>
      <c r="G42" s="11">
        <f>(F_R_Comp)*253.93</f>
        <v>253.93</v>
      </c>
    </row>
    <row r="43" spans="1:7" x14ac:dyDescent="0.2">
      <c r="A43" s="8" t="s">
        <v>560</v>
      </c>
      <c r="B43" s="8">
        <v>11</v>
      </c>
      <c r="C43" s="8">
        <v>500</v>
      </c>
      <c r="D43" s="9">
        <v>400</v>
      </c>
      <c r="E43" s="2" t="s">
        <v>561</v>
      </c>
      <c r="F43" s="10">
        <v>74.489999999999995</v>
      </c>
      <c r="G43" s="11">
        <f>(F_R_Comp)*74.49</f>
        <v>74.489999999999995</v>
      </c>
    </row>
    <row r="44" spans="1:7" x14ac:dyDescent="0.2">
      <c r="A44" s="8" t="s">
        <v>562</v>
      </c>
      <c r="B44" s="8">
        <v>11</v>
      </c>
      <c r="C44" s="8">
        <v>500</v>
      </c>
      <c r="D44" s="9">
        <v>500</v>
      </c>
      <c r="E44" s="2" t="s">
        <v>563</v>
      </c>
      <c r="F44" s="10">
        <v>80.709999999999994</v>
      </c>
      <c r="G44" s="11">
        <f>(F_R_Comp)*80.71</f>
        <v>80.709999999999994</v>
      </c>
    </row>
    <row r="45" spans="1:7" x14ac:dyDescent="0.2">
      <c r="A45" s="8" t="s">
        <v>564</v>
      </c>
      <c r="B45" s="8">
        <v>11</v>
      </c>
      <c r="C45" s="8">
        <v>500</v>
      </c>
      <c r="D45" s="9">
        <v>600</v>
      </c>
      <c r="E45" s="2" t="s">
        <v>565</v>
      </c>
      <c r="F45" s="10">
        <v>87.53</v>
      </c>
      <c r="G45" s="11">
        <f>(F_R_Comp)*87.53</f>
        <v>87.53</v>
      </c>
    </row>
    <row r="46" spans="1:7" x14ac:dyDescent="0.2">
      <c r="A46" s="8" t="s">
        <v>566</v>
      </c>
      <c r="B46" s="8">
        <v>11</v>
      </c>
      <c r="C46" s="8">
        <v>500</v>
      </c>
      <c r="D46" s="9">
        <v>700</v>
      </c>
      <c r="E46" s="2" t="s">
        <v>567</v>
      </c>
      <c r="F46" s="10">
        <v>94.75</v>
      </c>
      <c r="G46" s="11">
        <f>(F_R_Comp)*94.75</f>
        <v>94.75</v>
      </c>
    </row>
    <row r="47" spans="1:7" x14ac:dyDescent="0.2">
      <c r="A47" s="8" t="s">
        <v>568</v>
      </c>
      <c r="B47" s="8">
        <v>11</v>
      </c>
      <c r="C47" s="8">
        <v>500</v>
      </c>
      <c r="D47" s="9">
        <v>800</v>
      </c>
      <c r="E47" s="2" t="s">
        <v>569</v>
      </c>
      <c r="F47" s="10">
        <v>100.29</v>
      </c>
      <c r="G47" s="11">
        <f>(F_R_Comp)*100.29</f>
        <v>100.29</v>
      </c>
    </row>
    <row r="48" spans="1:7" x14ac:dyDescent="0.2">
      <c r="A48" s="8" t="s">
        <v>570</v>
      </c>
      <c r="B48" s="8">
        <v>11</v>
      </c>
      <c r="C48" s="8">
        <v>500</v>
      </c>
      <c r="D48" s="9">
        <v>900</v>
      </c>
      <c r="E48" s="2" t="s">
        <v>571</v>
      </c>
      <c r="F48" s="10">
        <v>107.77</v>
      </c>
      <c r="G48" s="11">
        <f>(F_R_Comp)*107.77</f>
        <v>107.77</v>
      </c>
    </row>
    <row r="49" spans="1:7" x14ac:dyDescent="0.2">
      <c r="A49" s="8" t="s">
        <v>572</v>
      </c>
      <c r="B49" s="8">
        <v>11</v>
      </c>
      <c r="C49" s="8">
        <v>500</v>
      </c>
      <c r="D49" s="9">
        <v>1000</v>
      </c>
      <c r="E49" s="2" t="s">
        <v>573</v>
      </c>
      <c r="F49" s="10">
        <v>115.66</v>
      </c>
      <c r="G49" s="11">
        <f>(F_R_Comp)*115.66</f>
        <v>115.66</v>
      </c>
    </row>
    <row r="50" spans="1:7" x14ac:dyDescent="0.2">
      <c r="A50" s="8" t="s">
        <v>574</v>
      </c>
      <c r="B50" s="8">
        <v>11</v>
      </c>
      <c r="C50" s="8">
        <v>500</v>
      </c>
      <c r="D50" s="9">
        <v>1100</v>
      </c>
      <c r="E50" s="2" t="s">
        <v>575</v>
      </c>
      <c r="F50" s="10">
        <v>123.84</v>
      </c>
      <c r="G50" s="11">
        <f>(F_R_Comp)*123.84</f>
        <v>123.84</v>
      </c>
    </row>
    <row r="51" spans="1:7" x14ac:dyDescent="0.2">
      <c r="A51" s="8" t="s">
        <v>576</v>
      </c>
      <c r="B51" s="8">
        <v>11</v>
      </c>
      <c r="C51" s="8">
        <v>500</v>
      </c>
      <c r="D51" s="9">
        <v>1200</v>
      </c>
      <c r="E51" s="2" t="s">
        <v>577</v>
      </c>
      <c r="F51" s="10">
        <v>131.71</v>
      </c>
      <c r="G51" s="11">
        <f>(F_R_Comp)*131.71</f>
        <v>131.71</v>
      </c>
    </row>
    <row r="52" spans="1:7" x14ac:dyDescent="0.2">
      <c r="A52" s="8" t="s">
        <v>578</v>
      </c>
      <c r="B52" s="8">
        <v>11</v>
      </c>
      <c r="C52" s="8">
        <v>500</v>
      </c>
      <c r="D52" s="9">
        <v>1400</v>
      </c>
      <c r="E52" s="2" t="s">
        <v>579</v>
      </c>
      <c r="F52" s="10">
        <v>147.69999999999999</v>
      </c>
      <c r="G52" s="11">
        <f>(F_R_Comp)*147.7</f>
        <v>147.69999999999999</v>
      </c>
    </row>
    <row r="53" spans="1:7" x14ac:dyDescent="0.2">
      <c r="A53" s="8" t="s">
        <v>580</v>
      </c>
      <c r="B53" s="8">
        <v>11</v>
      </c>
      <c r="C53" s="8">
        <v>500</v>
      </c>
      <c r="D53" s="9">
        <v>1600</v>
      </c>
      <c r="E53" s="2" t="s">
        <v>581</v>
      </c>
      <c r="F53" s="10">
        <v>164.02</v>
      </c>
      <c r="G53" s="11">
        <f>(F_R_Comp)*164.02</f>
        <v>164.02</v>
      </c>
    </row>
    <row r="54" spans="1:7" x14ac:dyDescent="0.2">
      <c r="A54" s="8" t="s">
        <v>582</v>
      </c>
      <c r="B54" s="8">
        <v>11</v>
      </c>
      <c r="C54" s="8">
        <v>500</v>
      </c>
      <c r="D54" s="9">
        <v>1800</v>
      </c>
      <c r="E54" s="2" t="s">
        <v>583</v>
      </c>
      <c r="F54" s="10">
        <v>180.04</v>
      </c>
      <c r="G54" s="11">
        <f>(F_R_Comp)*180.04</f>
        <v>180.04</v>
      </c>
    </row>
    <row r="55" spans="1:7" x14ac:dyDescent="0.2">
      <c r="A55" s="8" t="s">
        <v>584</v>
      </c>
      <c r="B55" s="8">
        <v>11</v>
      </c>
      <c r="C55" s="8">
        <v>500</v>
      </c>
      <c r="D55" s="9">
        <v>2000</v>
      </c>
      <c r="E55" s="2" t="s">
        <v>585</v>
      </c>
      <c r="F55" s="10">
        <v>197.02</v>
      </c>
      <c r="G55" s="11">
        <f>(F_R_Comp)*197.02</f>
        <v>197.02</v>
      </c>
    </row>
    <row r="56" spans="1:7" x14ac:dyDescent="0.2">
      <c r="A56" s="8" t="s">
        <v>586</v>
      </c>
      <c r="B56" s="8">
        <v>11</v>
      </c>
      <c r="C56" s="8">
        <v>500</v>
      </c>
      <c r="D56" s="9">
        <v>2300</v>
      </c>
      <c r="E56" s="2" t="s">
        <v>587</v>
      </c>
      <c r="F56" s="10">
        <v>220.92</v>
      </c>
      <c r="G56" s="11">
        <f>(F_R_Comp)*220.92</f>
        <v>220.92</v>
      </c>
    </row>
    <row r="57" spans="1:7" x14ac:dyDescent="0.2">
      <c r="A57" s="8" t="s">
        <v>588</v>
      </c>
      <c r="B57" s="8">
        <v>11</v>
      </c>
      <c r="C57" s="8">
        <v>500</v>
      </c>
      <c r="D57" s="9">
        <v>2600</v>
      </c>
      <c r="E57" s="2" t="s">
        <v>589</v>
      </c>
      <c r="F57" s="10">
        <v>246.07</v>
      </c>
      <c r="G57" s="11">
        <f>(F_R_Comp)*246.07</f>
        <v>246.07</v>
      </c>
    </row>
    <row r="58" spans="1:7" x14ac:dyDescent="0.2">
      <c r="A58" s="8" t="s">
        <v>590</v>
      </c>
      <c r="B58" s="8">
        <v>11</v>
      </c>
      <c r="C58" s="8">
        <v>500</v>
      </c>
      <c r="D58" s="9">
        <v>3000</v>
      </c>
      <c r="E58" s="2" t="s">
        <v>591</v>
      </c>
      <c r="F58" s="10">
        <v>278.76</v>
      </c>
      <c r="G58" s="11">
        <f>(F_R_Comp)*278.76</f>
        <v>278.76</v>
      </c>
    </row>
    <row r="59" spans="1:7" x14ac:dyDescent="0.2">
      <c r="A59" s="8">
        <v>1211550040</v>
      </c>
      <c r="B59" s="8">
        <v>11</v>
      </c>
      <c r="C59" s="8">
        <v>550</v>
      </c>
      <c r="D59" s="9">
        <v>400</v>
      </c>
      <c r="E59" s="2" t="s">
        <v>5310</v>
      </c>
      <c r="F59" s="10">
        <v>81.265275000000003</v>
      </c>
      <c r="G59" s="11">
        <f>(F_R_Comp)*81.265275</f>
        <v>81.265275000000003</v>
      </c>
    </row>
    <row r="60" spans="1:7" x14ac:dyDescent="0.2">
      <c r="A60" s="8">
        <v>1211550050</v>
      </c>
      <c r="B60" s="8">
        <v>11</v>
      </c>
      <c r="C60" s="8">
        <v>550</v>
      </c>
      <c r="D60" s="9">
        <v>500</v>
      </c>
      <c r="E60" s="2" t="s">
        <v>5311</v>
      </c>
      <c r="F60" s="10">
        <v>85.673699999999997</v>
      </c>
      <c r="G60" s="11">
        <f>(F_R_Comp)*85.6737</f>
        <v>85.673699999999997</v>
      </c>
    </row>
    <row r="61" spans="1:7" x14ac:dyDescent="0.2">
      <c r="A61" s="8">
        <v>1211550060</v>
      </c>
      <c r="B61" s="8">
        <v>11</v>
      </c>
      <c r="C61" s="8">
        <v>550</v>
      </c>
      <c r="D61" s="9">
        <v>600</v>
      </c>
      <c r="E61" s="2" t="s">
        <v>5312</v>
      </c>
      <c r="F61" s="10">
        <v>92.562750000000008</v>
      </c>
      <c r="G61" s="11">
        <f>(F_R_Comp)*92.56275</f>
        <v>92.562749999999994</v>
      </c>
    </row>
    <row r="62" spans="1:7" x14ac:dyDescent="0.2">
      <c r="A62" s="8">
        <v>1211550070</v>
      </c>
      <c r="B62" s="8">
        <v>11</v>
      </c>
      <c r="C62" s="8">
        <v>550</v>
      </c>
      <c r="D62" s="9">
        <v>700</v>
      </c>
      <c r="E62" s="2" t="s">
        <v>5313</v>
      </c>
      <c r="F62" s="10">
        <v>99.678600000000003</v>
      </c>
      <c r="G62" s="11">
        <f>(F_R_Comp)*99.6786</f>
        <v>99.678600000000003</v>
      </c>
    </row>
    <row r="63" spans="1:7" x14ac:dyDescent="0.2">
      <c r="A63" s="8">
        <v>1211550080</v>
      </c>
      <c r="B63" s="8">
        <v>11</v>
      </c>
      <c r="C63" s="8">
        <v>550</v>
      </c>
      <c r="D63" s="9">
        <v>800</v>
      </c>
      <c r="E63" s="2" t="s">
        <v>5314</v>
      </c>
      <c r="F63" s="10">
        <v>105.759675</v>
      </c>
      <c r="G63" s="11">
        <f>(F_R_Comp)*105.759675</f>
        <v>105.759675</v>
      </c>
    </row>
    <row r="64" spans="1:7" x14ac:dyDescent="0.2">
      <c r="A64" s="8">
        <v>1211550090</v>
      </c>
      <c r="B64" s="8">
        <v>11</v>
      </c>
      <c r="C64" s="8">
        <v>550</v>
      </c>
      <c r="D64" s="9">
        <v>900</v>
      </c>
      <c r="E64" s="2" t="s">
        <v>5315</v>
      </c>
      <c r="F64" s="10">
        <v>112.91805000000001</v>
      </c>
      <c r="G64" s="11">
        <f>(F_R_Comp)*112.91805</f>
        <v>112.91804999999999</v>
      </c>
    </row>
    <row r="65" spans="1:7" x14ac:dyDescent="0.2">
      <c r="A65" s="8">
        <v>1211550100</v>
      </c>
      <c r="B65" s="8">
        <v>11</v>
      </c>
      <c r="C65" s="8">
        <v>550</v>
      </c>
      <c r="D65" s="9">
        <v>1000</v>
      </c>
      <c r="E65" s="2" t="s">
        <v>5316</v>
      </c>
      <c r="F65" s="10">
        <v>120.586725</v>
      </c>
      <c r="G65" s="11">
        <f>(F_R_Comp)*120.586725</f>
        <v>120.586725</v>
      </c>
    </row>
    <row r="66" spans="1:7" x14ac:dyDescent="0.2">
      <c r="A66" s="8">
        <v>1211550110</v>
      </c>
      <c r="B66" s="8">
        <v>11</v>
      </c>
      <c r="C66" s="8">
        <v>550</v>
      </c>
      <c r="D66" s="9">
        <v>1100</v>
      </c>
      <c r="E66" s="2" t="s">
        <v>5317</v>
      </c>
      <c r="F66" s="10">
        <v>128.83657500000001</v>
      </c>
      <c r="G66" s="11">
        <f>(F_R_Comp)*128.836575</f>
        <v>128.83657500000001</v>
      </c>
    </row>
    <row r="67" spans="1:7" x14ac:dyDescent="0.2">
      <c r="A67" s="8">
        <v>1211550120</v>
      </c>
      <c r="B67" s="8">
        <v>11</v>
      </c>
      <c r="C67" s="8">
        <v>550</v>
      </c>
      <c r="D67" s="9">
        <v>1200</v>
      </c>
      <c r="E67" s="2" t="s">
        <v>5318</v>
      </c>
      <c r="F67" s="10">
        <v>137.426625</v>
      </c>
      <c r="G67" s="11">
        <f>(F_R_Comp)*137.426625</f>
        <v>137.426625</v>
      </c>
    </row>
    <row r="68" spans="1:7" x14ac:dyDescent="0.2">
      <c r="A68" s="8">
        <v>1211550140</v>
      </c>
      <c r="B68" s="8">
        <v>11</v>
      </c>
      <c r="C68" s="8">
        <v>550</v>
      </c>
      <c r="D68" s="9">
        <v>1400</v>
      </c>
      <c r="E68" s="2" t="s">
        <v>5319</v>
      </c>
      <c r="F68" s="10">
        <v>154.36574999999999</v>
      </c>
      <c r="G68" s="11">
        <f>(F_R_Comp)*154.36575</f>
        <v>154.36574999999999</v>
      </c>
    </row>
    <row r="69" spans="1:7" x14ac:dyDescent="0.2">
      <c r="A69" s="8">
        <v>1211550160</v>
      </c>
      <c r="B69" s="8">
        <v>11</v>
      </c>
      <c r="C69" s="8">
        <v>550</v>
      </c>
      <c r="D69" s="9">
        <v>1600</v>
      </c>
      <c r="E69" s="2" t="s">
        <v>5320</v>
      </c>
      <c r="F69" s="10">
        <v>173.65792500000001</v>
      </c>
      <c r="G69" s="11">
        <f>(F_R_Comp)*173.657925</f>
        <v>173.65792500000001</v>
      </c>
    </row>
    <row r="70" spans="1:7" x14ac:dyDescent="0.2">
      <c r="A70" s="8">
        <v>1211550180</v>
      </c>
      <c r="B70" s="8">
        <v>11</v>
      </c>
      <c r="C70" s="8">
        <v>550</v>
      </c>
      <c r="D70" s="9">
        <v>1800</v>
      </c>
      <c r="E70" s="2" t="s">
        <v>5321</v>
      </c>
      <c r="F70" s="10">
        <v>192.794175</v>
      </c>
      <c r="G70" s="11">
        <f>(F_R_Comp)*192.794175</f>
        <v>192.794175</v>
      </c>
    </row>
    <row r="71" spans="1:7" x14ac:dyDescent="0.2">
      <c r="A71" s="8">
        <v>1211550200</v>
      </c>
      <c r="B71" s="8">
        <v>11</v>
      </c>
      <c r="C71" s="8">
        <v>550</v>
      </c>
      <c r="D71" s="9">
        <v>2000</v>
      </c>
      <c r="E71" s="2" t="s">
        <v>5322</v>
      </c>
      <c r="F71" s="10">
        <v>209.08125000000001</v>
      </c>
      <c r="G71" s="11">
        <f>(F_R_Comp)*209.08125</f>
        <v>209.08125000000001</v>
      </c>
    </row>
    <row r="72" spans="1:7" x14ac:dyDescent="0.2">
      <c r="A72" s="8">
        <v>1211550230</v>
      </c>
      <c r="B72" s="8">
        <v>11</v>
      </c>
      <c r="C72" s="8">
        <v>550</v>
      </c>
      <c r="D72" s="9">
        <v>2300</v>
      </c>
      <c r="E72" s="2" t="s">
        <v>5323</v>
      </c>
      <c r="F72" s="10">
        <v>235.03567500000003</v>
      </c>
      <c r="G72" s="11">
        <f>(F_R_Comp)*235.035675</f>
        <v>235.035675</v>
      </c>
    </row>
    <row r="73" spans="1:7" x14ac:dyDescent="0.2">
      <c r="A73" s="8">
        <v>1211550260</v>
      </c>
      <c r="B73" s="8">
        <v>11</v>
      </c>
      <c r="C73" s="8">
        <v>550</v>
      </c>
      <c r="D73" s="9">
        <v>2600</v>
      </c>
      <c r="E73" s="2" t="s">
        <v>5324</v>
      </c>
      <c r="F73" s="10">
        <v>263.76839999999999</v>
      </c>
      <c r="G73" s="11">
        <f>(F_R_Comp)*263.7684</f>
        <v>263.76839999999999</v>
      </c>
    </row>
    <row r="74" spans="1:7" x14ac:dyDescent="0.2">
      <c r="A74" s="8">
        <v>1211550300</v>
      </c>
      <c r="B74" s="8">
        <v>11</v>
      </c>
      <c r="C74" s="8">
        <v>550</v>
      </c>
      <c r="D74" s="9">
        <v>3000</v>
      </c>
      <c r="E74" s="2" t="s">
        <v>5325</v>
      </c>
      <c r="F74" s="10">
        <v>296.48430000000002</v>
      </c>
      <c r="G74" s="11">
        <f>(F_R_Comp)*296.4843</f>
        <v>296.48430000000002</v>
      </c>
    </row>
    <row r="75" spans="1:7" x14ac:dyDescent="0.2">
      <c r="A75" s="8" t="s">
        <v>592</v>
      </c>
      <c r="B75" s="8">
        <v>11</v>
      </c>
      <c r="C75" s="8">
        <v>600</v>
      </c>
      <c r="D75" s="9">
        <v>400</v>
      </c>
      <c r="E75" s="2" t="s">
        <v>593</v>
      </c>
      <c r="F75" s="10">
        <v>87.3</v>
      </c>
      <c r="G75" s="11">
        <f>(F_R_Comp)*87.3</f>
        <v>87.3</v>
      </c>
    </row>
    <row r="76" spans="1:7" x14ac:dyDescent="0.2">
      <c r="A76" s="8" t="s">
        <v>594</v>
      </c>
      <c r="B76" s="8">
        <v>11</v>
      </c>
      <c r="C76" s="8">
        <v>600</v>
      </c>
      <c r="D76" s="9">
        <v>500</v>
      </c>
      <c r="E76" s="2" t="s">
        <v>595</v>
      </c>
      <c r="F76" s="10">
        <v>89.5</v>
      </c>
      <c r="G76" s="11">
        <f>(F_R_Comp)*89.5</f>
        <v>89.5</v>
      </c>
    </row>
    <row r="77" spans="1:7" x14ac:dyDescent="0.2">
      <c r="A77" s="8" t="s">
        <v>596</v>
      </c>
      <c r="B77" s="8">
        <v>11</v>
      </c>
      <c r="C77" s="8">
        <v>600</v>
      </c>
      <c r="D77" s="9">
        <v>600</v>
      </c>
      <c r="E77" s="2" t="s">
        <v>597</v>
      </c>
      <c r="F77" s="10">
        <v>96.36</v>
      </c>
      <c r="G77" s="11">
        <f>(F_R_Comp)*96.36</f>
        <v>96.36</v>
      </c>
    </row>
    <row r="78" spans="1:7" x14ac:dyDescent="0.2">
      <c r="A78" s="8" t="s">
        <v>598</v>
      </c>
      <c r="B78" s="8">
        <v>11</v>
      </c>
      <c r="C78" s="8">
        <v>600</v>
      </c>
      <c r="D78" s="9">
        <v>700</v>
      </c>
      <c r="E78" s="2" t="s">
        <v>599</v>
      </c>
      <c r="F78" s="10">
        <v>103.27</v>
      </c>
      <c r="G78" s="11">
        <f>(F_R_Comp)*103.27</f>
        <v>103.27</v>
      </c>
    </row>
    <row r="79" spans="1:7" x14ac:dyDescent="0.2">
      <c r="A79" s="8" t="s">
        <v>600</v>
      </c>
      <c r="B79" s="8">
        <v>11</v>
      </c>
      <c r="C79" s="8">
        <v>600</v>
      </c>
      <c r="D79" s="9">
        <v>800</v>
      </c>
      <c r="E79" s="2" t="s">
        <v>601</v>
      </c>
      <c r="F79" s="10">
        <v>110.12</v>
      </c>
      <c r="G79" s="11">
        <f>(F_R_Comp)*110.12</f>
        <v>110.12</v>
      </c>
    </row>
    <row r="80" spans="1:7" x14ac:dyDescent="0.2">
      <c r="A80" s="8" t="s">
        <v>602</v>
      </c>
      <c r="B80" s="8">
        <v>11</v>
      </c>
      <c r="C80" s="8">
        <v>600</v>
      </c>
      <c r="D80" s="9">
        <v>900</v>
      </c>
      <c r="E80" s="2" t="s">
        <v>603</v>
      </c>
      <c r="F80" s="10">
        <v>116.7</v>
      </c>
      <c r="G80" s="11">
        <f>(F_R_Comp)*116.7</f>
        <v>116.7</v>
      </c>
    </row>
    <row r="81" spans="1:7" x14ac:dyDescent="0.2">
      <c r="A81" s="8" t="s">
        <v>604</v>
      </c>
      <c r="B81" s="8">
        <v>11</v>
      </c>
      <c r="C81" s="8">
        <v>600</v>
      </c>
      <c r="D81" s="9">
        <v>1000</v>
      </c>
      <c r="E81" s="2" t="s">
        <v>605</v>
      </c>
      <c r="F81" s="10">
        <v>124.2</v>
      </c>
      <c r="G81" s="11">
        <f>(F_R_Comp)*124.2</f>
        <v>124.2</v>
      </c>
    </row>
    <row r="82" spans="1:7" x14ac:dyDescent="0.2">
      <c r="A82" s="8" t="s">
        <v>606</v>
      </c>
      <c r="B82" s="8">
        <v>11</v>
      </c>
      <c r="C82" s="8">
        <v>600</v>
      </c>
      <c r="D82" s="9">
        <v>1100</v>
      </c>
      <c r="E82" s="2" t="s">
        <v>607</v>
      </c>
      <c r="F82" s="10">
        <v>132.32</v>
      </c>
      <c r="G82" s="11">
        <f>(F_R_Comp)*132.32</f>
        <v>132.32</v>
      </c>
    </row>
    <row r="83" spans="1:7" x14ac:dyDescent="0.2">
      <c r="A83" s="8" t="s">
        <v>608</v>
      </c>
      <c r="B83" s="8">
        <v>11</v>
      </c>
      <c r="C83" s="8">
        <v>600</v>
      </c>
      <c r="D83" s="9">
        <v>1200</v>
      </c>
      <c r="E83" s="2" t="s">
        <v>609</v>
      </c>
      <c r="F83" s="10">
        <v>141.53</v>
      </c>
      <c r="G83" s="11">
        <f>(F_R_Comp)*141.53</f>
        <v>141.53</v>
      </c>
    </row>
    <row r="84" spans="1:7" x14ac:dyDescent="0.2">
      <c r="A84" s="8" t="s">
        <v>610</v>
      </c>
      <c r="B84" s="8">
        <v>11</v>
      </c>
      <c r="C84" s="8">
        <v>600</v>
      </c>
      <c r="D84" s="9">
        <v>1400</v>
      </c>
      <c r="E84" s="2" t="s">
        <v>611</v>
      </c>
      <c r="F84" s="10">
        <v>158.76</v>
      </c>
      <c r="G84" s="11">
        <f>(F_R_Comp)*158.76</f>
        <v>158.76</v>
      </c>
    </row>
    <row r="85" spans="1:7" x14ac:dyDescent="0.2">
      <c r="A85" s="8" t="s">
        <v>612</v>
      </c>
      <c r="B85" s="8">
        <v>11</v>
      </c>
      <c r="C85" s="8">
        <v>600</v>
      </c>
      <c r="D85" s="9">
        <v>1600</v>
      </c>
      <c r="E85" s="2" t="s">
        <v>613</v>
      </c>
      <c r="F85" s="10">
        <v>181.65</v>
      </c>
      <c r="G85" s="11">
        <f>(F_R_Comp)*181.65</f>
        <v>181.65</v>
      </c>
    </row>
    <row r="86" spans="1:7" x14ac:dyDescent="0.2">
      <c r="A86" s="8" t="s">
        <v>614</v>
      </c>
      <c r="B86" s="8">
        <v>11</v>
      </c>
      <c r="C86" s="8">
        <v>600</v>
      </c>
      <c r="D86" s="9">
        <v>1800</v>
      </c>
      <c r="E86" s="2" t="s">
        <v>615</v>
      </c>
      <c r="F86" s="10">
        <v>203.15</v>
      </c>
      <c r="G86" s="11">
        <f>(F_R_Comp)*203.15</f>
        <v>203.15</v>
      </c>
    </row>
    <row r="87" spans="1:7" x14ac:dyDescent="0.2">
      <c r="A87" s="8" t="s">
        <v>616</v>
      </c>
      <c r="B87" s="8">
        <v>11</v>
      </c>
      <c r="C87" s="8">
        <v>600</v>
      </c>
      <c r="D87" s="9">
        <v>2000</v>
      </c>
      <c r="E87" s="2" t="s">
        <v>617</v>
      </c>
      <c r="F87" s="10">
        <v>219.22</v>
      </c>
      <c r="G87" s="11">
        <f>(F_R_Comp)*219.22</f>
        <v>219.22</v>
      </c>
    </row>
    <row r="88" spans="1:7" x14ac:dyDescent="0.2">
      <c r="A88" s="8" t="s">
        <v>618</v>
      </c>
      <c r="B88" s="8">
        <v>11</v>
      </c>
      <c r="C88" s="8">
        <v>600</v>
      </c>
      <c r="D88" s="9">
        <v>2300</v>
      </c>
      <c r="E88" s="2" t="s">
        <v>619</v>
      </c>
      <c r="F88" s="10">
        <v>246.44</v>
      </c>
      <c r="G88" s="11">
        <f>(F_R_Comp)*246.44</f>
        <v>246.44</v>
      </c>
    </row>
    <row r="89" spans="1:7" x14ac:dyDescent="0.2">
      <c r="A89" s="8" t="s">
        <v>620</v>
      </c>
      <c r="B89" s="8">
        <v>11</v>
      </c>
      <c r="C89" s="8">
        <v>600</v>
      </c>
      <c r="D89" s="9">
        <v>2600</v>
      </c>
      <c r="E89" s="2" t="s">
        <v>621</v>
      </c>
      <c r="F89" s="10">
        <v>278.33999999999997</v>
      </c>
      <c r="G89" s="11">
        <f>(F_R_Comp)*278.34</f>
        <v>278.33999999999997</v>
      </c>
    </row>
    <row r="90" spans="1:7" x14ac:dyDescent="0.2">
      <c r="A90" s="8" t="s">
        <v>622</v>
      </c>
      <c r="B90" s="8">
        <v>11</v>
      </c>
      <c r="C90" s="8">
        <v>600</v>
      </c>
      <c r="D90" s="9">
        <v>3000</v>
      </c>
      <c r="E90" s="2" t="s">
        <v>623</v>
      </c>
      <c r="F90" s="10">
        <v>310.7</v>
      </c>
      <c r="G90" s="11">
        <f>(F_R_Comp)*310.7</f>
        <v>310.7</v>
      </c>
    </row>
    <row r="91" spans="1:7" x14ac:dyDescent="0.2">
      <c r="A91" s="8" t="s">
        <v>624</v>
      </c>
      <c r="B91" s="8">
        <v>11</v>
      </c>
      <c r="C91" s="8">
        <v>900</v>
      </c>
      <c r="D91" s="9">
        <v>400</v>
      </c>
      <c r="E91" s="2" t="s">
        <v>625</v>
      </c>
      <c r="F91" s="10">
        <v>99.34</v>
      </c>
      <c r="G91" s="11">
        <f>(F_R_Comp)*99.34</f>
        <v>99.34</v>
      </c>
    </row>
    <row r="92" spans="1:7" x14ac:dyDescent="0.2">
      <c r="A92" s="8" t="s">
        <v>626</v>
      </c>
      <c r="B92" s="8">
        <v>11</v>
      </c>
      <c r="C92" s="8">
        <v>900</v>
      </c>
      <c r="D92" s="9">
        <v>500</v>
      </c>
      <c r="E92" s="2" t="s">
        <v>627</v>
      </c>
      <c r="F92" s="10">
        <v>109.75</v>
      </c>
      <c r="G92" s="11">
        <f>(F_R_Comp)*109.75</f>
        <v>109.75</v>
      </c>
    </row>
    <row r="93" spans="1:7" x14ac:dyDescent="0.2">
      <c r="A93" s="8" t="s">
        <v>628</v>
      </c>
      <c r="B93" s="8">
        <v>11</v>
      </c>
      <c r="C93" s="8">
        <v>900</v>
      </c>
      <c r="D93" s="9">
        <v>600</v>
      </c>
      <c r="E93" s="2" t="s">
        <v>629</v>
      </c>
      <c r="F93" s="10">
        <v>120.27</v>
      </c>
      <c r="G93" s="11">
        <f>(F_R_Comp)*120.27</f>
        <v>120.27</v>
      </c>
    </row>
    <row r="94" spans="1:7" x14ac:dyDescent="0.2">
      <c r="A94" s="8" t="s">
        <v>630</v>
      </c>
      <c r="B94" s="8">
        <v>11</v>
      </c>
      <c r="C94" s="8">
        <v>900</v>
      </c>
      <c r="D94" s="9">
        <v>700</v>
      </c>
      <c r="E94" s="2" t="s">
        <v>631</v>
      </c>
      <c r="F94" s="10">
        <v>130.78</v>
      </c>
      <c r="G94" s="11">
        <f>(F_R_Comp)*130.78</f>
        <v>130.78</v>
      </c>
    </row>
    <row r="95" spans="1:7" x14ac:dyDescent="0.2">
      <c r="A95" s="8" t="s">
        <v>632</v>
      </c>
      <c r="B95" s="8">
        <v>11</v>
      </c>
      <c r="C95" s="8">
        <v>900</v>
      </c>
      <c r="D95" s="9">
        <v>800</v>
      </c>
      <c r="E95" s="2" t="s">
        <v>633</v>
      </c>
      <c r="F95" s="10">
        <v>140.88</v>
      </c>
      <c r="G95" s="11">
        <f>(F_R_Comp)*140.88</f>
        <v>140.88</v>
      </c>
    </row>
    <row r="96" spans="1:7" x14ac:dyDescent="0.2">
      <c r="A96" s="8" t="s">
        <v>634</v>
      </c>
      <c r="B96" s="8">
        <v>11</v>
      </c>
      <c r="C96" s="8">
        <v>900</v>
      </c>
      <c r="D96" s="9">
        <v>900</v>
      </c>
      <c r="E96" s="2" t="s">
        <v>635</v>
      </c>
      <c r="F96" s="10">
        <v>150.37</v>
      </c>
      <c r="G96" s="11">
        <f>(F_R_Comp)*150.37</f>
        <v>150.37</v>
      </c>
    </row>
    <row r="97" spans="1:7" x14ac:dyDescent="0.2">
      <c r="A97" s="8" t="s">
        <v>636</v>
      </c>
      <c r="B97" s="8">
        <v>11</v>
      </c>
      <c r="C97" s="8">
        <v>900</v>
      </c>
      <c r="D97" s="9">
        <v>1000</v>
      </c>
      <c r="E97" s="2" t="s">
        <v>637</v>
      </c>
      <c r="F97" s="10">
        <v>163.38999999999999</v>
      </c>
      <c r="G97" s="11">
        <f>(F_R_Comp)*163.39</f>
        <v>163.38999999999999</v>
      </c>
    </row>
    <row r="98" spans="1:7" x14ac:dyDescent="0.2">
      <c r="A98" s="8" t="s">
        <v>638</v>
      </c>
      <c r="B98" s="8">
        <v>11</v>
      </c>
      <c r="C98" s="8">
        <v>900</v>
      </c>
      <c r="D98" s="9">
        <v>1100</v>
      </c>
      <c r="E98" s="2" t="s">
        <v>639</v>
      </c>
      <c r="F98" s="10">
        <v>176.49</v>
      </c>
      <c r="G98" s="11">
        <f>(F_R_Comp)*176.49</f>
        <v>176.49</v>
      </c>
    </row>
    <row r="99" spans="1:7" x14ac:dyDescent="0.2">
      <c r="A99" s="8" t="s">
        <v>640</v>
      </c>
      <c r="B99" s="8">
        <v>11</v>
      </c>
      <c r="C99" s="8">
        <v>900</v>
      </c>
      <c r="D99" s="9">
        <v>1200</v>
      </c>
      <c r="E99" s="2" t="s">
        <v>641</v>
      </c>
      <c r="F99" s="10">
        <v>189.5</v>
      </c>
      <c r="G99" s="11">
        <f>(F_R_Comp)*189.5</f>
        <v>189.5</v>
      </c>
    </row>
    <row r="100" spans="1:7" x14ac:dyDescent="0.2">
      <c r="A100" s="8" t="s">
        <v>642</v>
      </c>
      <c r="B100" s="8">
        <v>11</v>
      </c>
      <c r="C100" s="8">
        <v>900</v>
      </c>
      <c r="D100" s="9">
        <v>1400</v>
      </c>
      <c r="E100" s="2" t="s">
        <v>643</v>
      </c>
      <c r="F100" s="10">
        <v>216.58</v>
      </c>
      <c r="G100" s="11">
        <f>(F_R_Comp)*216.58</f>
        <v>216.58</v>
      </c>
    </row>
    <row r="101" spans="1:7" x14ac:dyDescent="0.2">
      <c r="A101" s="8" t="s">
        <v>644</v>
      </c>
      <c r="B101" s="8">
        <v>11</v>
      </c>
      <c r="C101" s="8">
        <v>900</v>
      </c>
      <c r="D101" s="9">
        <v>1600</v>
      </c>
      <c r="E101" s="2" t="s">
        <v>645</v>
      </c>
      <c r="F101" s="10">
        <v>243.4</v>
      </c>
      <c r="G101" s="11">
        <f>(F_R_Comp)*243.4</f>
        <v>243.4</v>
      </c>
    </row>
    <row r="102" spans="1:7" x14ac:dyDescent="0.2">
      <c r="A102" s="8" t="s">
        <v>646</v>
      </c>
      <c r="B102" s="8">
        <v>11</v>
      </c>
      <c r="C102" s="8">
        <v>900</v>
      </c>
      <c r="D102" s="9">
        <v>1800</v>
      </c>
      <c r="E102" s="2" t="s">
        <v>647</v>
      </c>
      <c r="F102" s="10">
        <v>271.51</v>
      </c>
      <c r="G102" s="11">
        <f>(F_R_Comp)*271.51</f>
        <v>271.51</v>
      </c>
    </row>
    <row r="103" spans="1:7" x14ac:dyDescent="0.2">
      <c r="A103" s="8" t="s">
        <v>648</v>
      </c>
      <c r="B103" s="8">
        <v>11</v>
      </c>
      <c r="C103" s="8">
        <v>900</v>
      </c>
      <c r="D103" s="9">
        <v>2000</v>
      </c>
      <c r="E103" s="2" t="s">
        <v>649</v>
      </c>
      <c r="F103" s="10">
        <v>297.68</v>
      </c>
      <c r="G103" s="11">
        <f>(F_R_Comp)*297.68</f>
        <v>297.68</v>
      </c>
    </row>
    <row r="104" spans="1:7" x14ac:dyDescent="0.2">
      <c r="A104" s="8" t="s">
        <v>650</v>
      </c>
      <c r="B104" s="8">
        <v>21</v>
      </c>
      <c r="C104" s="8">
        <v>300</v>
      </c>
      <c r="D104" s="9">
        <v>400</v>
      </c>
      <c r="E104" s="2" t="s">
        <v>651</v>
      </c>
      <c r="F104" s="10">
        <v>84.65</v>
      </c>
      <c r="G104" s="11">
        <f>(F_R_Comp)*84.65</f>
        <v>84.65</v>
      </c>
    </row>
    <row r="105" spans="1:7" x14ac:dyDescent="0.2">
      <c r="A105" s="8" t="s">
        <v>652</v>
      </c>
      <c r="B105" s="8">
        <v>21</v>
      </c>
      <c r="C105" s="8">
        <v>300</v>
      </c>
      <c r="D105" s="9">
        <v>500</v>
      </c>
      <c r="E105" s="2" t="s">
        <v>653</v>
      </c>
      <c r="F105" s="10">
        <v>95.66</v>
      </c>
      <c r="G105" s="11">
        <f>(F_R_Comp)*95.66</f>
        <v>95.66</v>
      </c>
    </row>
    <row r="106" spans="1:7" x14ac:dyDescent="0.2">
      <c r="A106" s="8" t="s">
        <v>654</v>
      </c>
      <c r="B106" s="8">
        <v>21</v>
      </c>
      <c r="C106" s="8">
        <v>300</v>
      </c>
      <c r="D106" s="9">
        <v>600</v>
      </c>
      <c r="E106" s="2" t="s">
        <v>655</v>
      </c>
      <c r="F106" s="10">
        <v>104.61</v>
      </c>
      <c r="G106" s="11">
        <f>(F_R_Comp)*104.61</f>
        <v>104.61</v>
      </c>
    </row>
    <row r="107" spans="1:7" x14ac:dyDescent="0.2">
      <c r="A107" s="8" t="s">
        <v>656</v>
      </c>
      <c r="B107" s="8">
        <v>21</v>
      </c>
      <c r="C107" s="8">
        <v>300</v>
      </c>
      <c r="D107" s="9">
        <v>700</v>
      </c>
      <c r="E107" s="2" t="s">
        <v>657</v>
      </c>
      <c r="F107" s="10">
        <v>114.36</v>
      </c>
      <c r="G107" s="11">
        <f>(F_R_Comp)*114.36</f>
        <v>114.36</v>
      </c>
    </row>
    <row r="108" spans="1:7" x14ac:dyDescent="0.2">
      <c r="A108" s="8" t="s">
        <v>658</v>
      </c>
      <c r="B108" s="8">
        <v>21</v>
      </c>
      <c r="C108" s="8">
        <v>300</v>
      </c>
      <c r="D108" s="9">
        <v>800</v>
      </c>
      <c r="E108" s="2" t="s">
        <v>659</v>
      </c>
      <c r="F108" s="10">
        <v>124.2</v>
      </c>
      <c r="G108" s="11">
        <f>(F_R_Comp)*124.2</f>
        <v>124.2</v>
      </c>
    </row>
    <row r="109" spans="1:7" x14ac:dyDescent="0.2">
      <c r="A109" s="8" t="s">
        <v>660</v>
      </c>
      <c r="B109" s="8">
        <v>21</v>
      </c>
      <c r="C109" s="8">
        <v>300</v>
      </c>
      <c r="D109" s="9">
        <v>900</v>
      </c>
      <c r="E109" s="2" t="s">
        <v>661</v>
      </c>
      <c r="F109" s="10">
        <v>133.91</v>
      </c>
      <c r="G109" s="11">
        <f>(F_R_Comp)*133.91</f>
        <v>133.91</v>
      </c>
    </row>
    <row r="110" spans="1:7" x14ac:dyDescent="0.2">
      <c r="A110" s="8" t="s">
        <v>662</v>
      </c>
      <c r="B110" s="8">
        <v>21</v>
      </c>
      <c r="C110" s="8">
        <v>300</v>
      </c>
      <c r="D110" s="9">
        <v>1000</v>
      </c>
      <c r="E110" s="2" t="s">
        <v>663</v>
      </c>
      <c r="F110" s="10">
        <v>143.78</v>
      </c>
      <c r="G110" s="11">
        <f>(F_R_Comp)*143.78</f>
        <v>143.78</v>
      </c>
    </row>
    <row r="111" spans="1:7" x14ac:dyDescent="0.2">
      <c r="A111" s="8" t="s">
        <v>664</v>
      </c>
      <c r="B111" s="8">
        <v>21</v>
      </c>
      <c r="C111" s="8">
        <v>300</v>
      </c>
      <c r="D111" s="9">
        <v>1100</v>
      </c>
      <c r="E111" s="2" t="s">
        <v>665</v>
      </c>
      <c r="F111" s="10">
        <v>153.22999999999999</v>
      </c>
      <c r="G111" s="11">
        <f>(F_R_Comp)*153.23</f>
        <v>153.22999999999999</v>
      </c>
    </row>
    <row r="112" spans="1:7" x14ac:dyDescent="0.2">
      <c r="A112" s="8" t="s">
        <v>666</v>
      </c>
      <c r="B112" s="8">
        <v>21</v>
      </c>
      <c r="C112" s="8">
        <v>300</v>
      </c>
      <c r="D112" s="9">
        <v>1200</v>
      </c>
      <c r="E112" s="2" t="s">
        <v>667</v>
      </c>
      <c r="F112" s="10">
        <v>163.09</v>
      </c>
      <c r="G112" s="11">
        <f>(F_R_Comp)*163.09</f>
        <v>163.09</v>
      </c>
    </row>
    <row r="113" spans="1:7" x14ac:dyDescent="0.2">
      <c r="A113" s="8" t="s">
        <v>668</v>
      </c>
      <c r="B113" s="8">
        <v>21</v>
      </c>
      <c r="C113" s="8">
        <v>300</v>
      </c>
      <c r="D113" s="9">
        <v>1400</v>
      </c>
      <c r="E113" s="2" t="s">
        <v>669</v>
      </c>
      <c r="F113" s="10">
        <v>182.26</v>
      </c>
      <c r="G113" s="11">
        <f>(F_R_Comp)*182.26</f>
        <v>182.26</v>
      </c>
    </row>
    <row r="114" spans="1:7" x14ac:dyDescent="0.2">
      <c r="A114" s="8" t="s">
        <v>670</v>
      </c>
      <c r="B114" s="8">
        <v>21</v>
      </c>
      <c r="C114" s="8">
        <v>300</v>
      </c>
      <c r="D114" s="9">
        <v>1600</v>
      </c>
      <c r="E114" s="2" t="s">
        <v>671</v>
      </c>
      <c r="F114" s="10">
        <v>201.6</v>
      </c>
      <c r="G114" s="11">
        <f>(F_R_Comp)*201.6</f>
        <v>201.6</v>
      </c>
    </row>
    <row r="115" spans="1:7" x14ac:dyDescent="0.2">
      <c r="A115" s="8" t="s">
        <v>672</v>
      </c>
      <c r="B115" s="8">
        <v>21</v>
      </c>
      <c r="C115" s="8">
        <v>300</v>
      </c>
      <c r="D115" s="9">
        <v>1800</v>
      </c>
      <c r="E115" s="2" t="s">
        <v>673</v>
      </c>
      <c r="F115" s="10">
        <v>220.92</v>
      </c>
      <c r="G115" s="11">
        <f>(F_R_Comp)*220.92</f>
        <v>220.92</v>
      </c>
    </row>
    <row r="116" spans="1:7" x14ac:dyDescent="0.2">
      <c r="A116" s="8" t="s">
        <v>674</v>
      </c>
      <c r="B116" s="8">
        <v>21</v>
      </c>
      <c r="C116" s="8">
        <v>300</v>
      </c>
      <c r="D116" s="9">
        <v>2000</v>
      </c>
      <c r="E116" s="2" t="s">
        <v>675</v>
      </c>
      <c r="F116" s="10">
        <v>239.87</v>
      </c>
      <c r="G116" s="11">
        <f>(F_R_Comp)*239.87</f>
        <v>239.87</v>
      </c>
    </row>
    <row r="117" spans="1:7" x14ac:dyDescent="0.2">
      <c r="A117" s="8" t="s">
        <v>676</v>
      </c>
      <c r="B117" s="8">
        <v>21</v>
      </c>
      <c r="C117" s="8">
        <v>300</v>
      </c>
      <c r="D117" s="9">
        <v>2300</v>
      </c>
      <c r="E117" s="2" t="s">
        <v>677</v>
      </c>
      <c r="F117" s="10">
        <v>269.29000000000002</v>
      </c>
      <c r="G117" s="11">
        <f>(F_R_Comp)*269.29</f>
        <v>269.29000000000002</v>
      </c>
    </row>
    <row r="118" spans="1:7" x14ac:dyDescent="0.2">
      <c r="A118" s="8" t="s">
        <v>678</v>
      </c>
      <c r="B118" s="8">
        <v>21</v>
      </c>
      <c r="C118" s="8">
        <v>300</v>
      </c>
      <c r="D118" s="9">
        <v>2600</v>
      </c>
      <c r="E118" s="2" t="s">
        <v>679</v>
      </c>
      <c r="F118" s="10">
        <v>298.33999999999997</v>
      </c>
      <c r="G118" s="11">
        <f>(F_R_Comp)*298.34</f>
        <v>298.33999999999997</v>
      </c>
    </row>
    <row r="119" spans="1:7" x14ac:dyDescent="0.2">
      <c r="A119" s="8" t="s">
        <v>680</v>
      </c>
      <c r="B119" s="8">
        <v>21</v>
      </c>
      <c r="C119" s="8">
        <v>300</v>
      </c>
      <c r="D119" s="9">
        <v>3000</v>
      </c>
      <c r="E119" s="2" t="s">
        <v>681</v>
      </c>
      <c r="F119" s="10">
        <v>336.85</v>
      </c>
      <c r="G119" s="11">
        <f>(F_R_Comp)*336.85</f>
        <v>336.85</v>
      </c>
    </row>
    <row r="120" spans="1:7" x14ac:dyDescent="0.2">
      <c r="A120" s="8" t="s">
        <v>682</v>
      </c>
      <c r="B120" s="8">
        <v>21</v>
      </c>
      <c r="C120" s="8">
        <v>400</v>
      </c>
      <c r="D120" s="9">
        <v>400</v>
      </c>
      <c r="E120" s="2" t="s">
        <v>683</v>
      </c>
      <c r="F120" s="10">
        <v>88.82</v>
      </c>
      <c r="G120" s="11">
        <f>(F_R_Comp)*88.82</f>
        <v>88.82</v>
      </c>
    </row>
    <row r="121" spans="1:7" x14ac:dyDescent="0.2">
      <c r="A121" s="8" t="s">
        <v>684</v>
      </c>
      <c r="B121" s="8">
        <v>21</v>
      </c>
      <c r="C121" s="8">
        <v>400</v>
      </c>
      <c r="D121" s="9">
        <v>500</v>
      </c>
      <c r="E121" s="2" t="s">
        <v>685</v>
      </c>
      <c r="F121" s="10">
        <v>100.67</v>
      </c>
      <c r="G121" s="11">
        <f>(F_R_Comp)*100.67</f>
        <v>100.67</v>
      </c>
    </row>
    <row r="122" spans="1:7" x14ac:dyDescent="0.2">
      <c r="A122" s="8" t="s">
        <v>686</v>
      </c>
      <c r="B122" s="8">
        <v>21</v>
      </c>
      <c r="C122" s="8">
        <v>400</v>
      </c>
      <c r="D122" s="9">
        <v>600</v>
      </c>
      <c r="E122" s="2" t="s">
        <v>687</v>
      </c>
      <c r="F122" s="10">
        <v>112.1</v>
      </c>
      <c r="G122" s="11">
        <f>(F_R_Comp)*112.1</f>
        <v>112.1</v>
      </c>
    </row>
    <row r="123" spans="1:7" x14ac:dyDescent="0.2">
      <c r="A123" s="8" t="s">
        <v>688</v>
      </c>
      <c r="B123" s="8">
        <v>21</v>
      </c>
      <c r="C123" s="8">
        <v>400</v>
      </c>
      <c r="D123" s="9">
        <v>700</v>
      </c>
      <c r="E123" s="2" t="s">
        <v>689</v>
      </c>
      <c r="F123" s="10">
        <v>124.2</v>
      </c>
      <c r="G123" s="11">
        <f>(F_R_Comp)*124.2</f>
        <v>124.2</v>
      </c>
    </row>
    <row r="124" spans="1:7" x14ac:dyDescent="0.2">
      <c r="A124" s="8" t="s">
        <v>690</v>
      </c>
      <c r="B124" s="8">
        <v>21</v>
      </c>
      <c r="C124" s="8">
        <v>400</v>
      </c>
      <c r="D124" s="9">
        <v>800</v>
      </c>
      <c r="E124" s="2" t="s">
        <v>691</v>
      </c>
      <c r="F124" s="10">
        <v>135.9</v>
      </c>
      <c r="G124" s="11">
        <f>(F_R_Comp)*135.9</f>
        <v>135.9</v>
      </c>
    </row>
    <row r="125" spans="1:7" x14ac:dyDescent="0.2">
      <c r="A125" s="8" t="s">
        <v>692</v>
      </c>
      <c r="B125" s="8">
        <v>21</v>
      </c>
      <c r="C125" s="8">
        <v>400</v>
      </c>
      <c r="D125" s="9">
        <v>900</v>
      </c>
      <c r="E125" s="2" t="s">
        <v>693</v>
      </c>
      <c r="F125" s="10">
        <v>147.34</v>
      </c>
      <c r="G125" s="11">
        <f>(F_R_Comp)*147.34</f>
        <v>147.34</v>
      </c>
    </row>
    <row r="126" spans="1:7" x14ac:dyDescent="0.2">
      <c r="A126" s="8" t="s">
        <v>694</v>
      </c>
      <c r="B126" s="8">
        <v>21</v>
      </c>
      <c r="C126" s="8">
        <v>400</v>
      </c>
      <c r="D126" s="9">
        <v>1000</v>
      </c>
      <c r="E126" s="2" t="s">
        <v>695</v>
      </c>
      <c r="F126" s="10">
        <v>158.76</v>
      </c>
      <c r="G126" s="11">
        <f>(F_R_Comp)*158.76</f>
        <v>158.76</v>
      </c>
    </row>
    <row r="127" spans="1:7" x14ac:dyDescent="0.2">
      <c r="A127" s="8" t="s">
        <v>696</v>
      </c>
      <c r="B127" s="8">
        <v>21</v>
      </c>
      <c r="C127" s="8">
        <v>400</v>
      </c>
      <c r="D127" s="9">
        <v>1100</v>
      </c>
      <c r="E127" s="2" t="s">
        <v>697</v>
      </c>
      <c r="F127" s="10">
        <v>171.27</v>
      </c>
      <c r="G127" s="11">
        <f>(F_R_Comp)*171.27</f>
        <v>171.27</v>
      </c>
    </row>
    <row r="128" spans="1:7" x14ac:dyDescent="0.2">
      <c r="A128" s="8" t="s">
        <v>698</v>
      </c>
      <c r="B128" s="8">
        <v>21</v>
      </c>
      <c r="C128" s="8">
        <v>400</v>
      </c>
      <c r="D128" s="9">
        <v>1200</v>
      </c>
      <c r="E128" s="2" t="s">
        <v>699</v>
      </c>
      <c r="F128" s="10">
        <v>182.7</v>
      </c>
      <c r="G128" s="11">
        <f>(F_R_Comp)*182.7</f>
        <v>182.7</v>
      </c>
    </row>
    <row r="129" spans="1:7" x14ac:dyDescent="0.2">
      <c r="A129" s="8" t="s">
        <v>700</v>
      </c>
      <c r="B129" s="8">
        <v>21</v>
      </c>
      <c r="C129" s="8">
        <v>400</v>
      </c>
      <c r="D129" s="9">
        <v>1400</v>
      </c>
      <c r="E129" s="2" t="s">
        <v>701</v>
      </c>
      <c r="F129" s="10">
        <v>205.8</v>
      </c>
      <c r="G129" s="11">
        <f>(F_R_Comp)*205.8</f>
        <v>205.8</v>
      </c>
    </row>
    <row r="130" spans="1:7" x14ac:dyDescent="0.2">
      <c r="A130" s="8" t="s">
        <v>702</v>
      </c>
      <c r="B130" s="8">
        <v>21</v>
      </c>
      <c r="C130" s="8">
        <v>400</v>
      </c>
      <c r="D130" s="9">
        <v>1600</v>
      </c>
      <c r="E130" s="2" t="s">
        <v>703</v>
      </c>
      <c r="F130" s="10">
        <v>229.08</v>
      </c>
      <c r="G130" s="11">
        <f>(F_R_Comp)*229.08</f>
        <v>229.08</v>
      </c>
    </row>
    <row r="131" spans="1:7" x14ac:dyDescent="0.2">
      <c r="A131" s="8" t="s">
        <v>704</v>
      </c>
      <c r="B131" s="8">
        <v>21</v>
      </c>
      <c r="C131" s="8">
        <v>400</v>
      </c>
      <c r="D131" s="9">
        <v>1800</v>
      </c>
      <c r="E131" s="2" t="s">
        <v>705</v>
      </c>
      <c r="F131" s="10">
        <v>252.89</v>
      </c>
      <c r="G131" s="11">
        <f>(F_R_Comp)*252.89</f>
        <v>252.89</v>
      </c>
    </row>
    <row r="132" spans="1:7" x14ac:dyDescent="0.2">
      <c r="A132" s="8" t="s">
        <v>706</v>
      </c>
      <c r="B132" s="8">
        <v>21</v>
      </c>
      <c r="C132" s="8">
        <v>400</v>
      </c>
      <c r="D132" s="9">
        <v>2000</v>
      </c>
      <c r="E132" s="2" t="s">
        <v>707</v>
      </c>
      <c r="F132" s="10">
        <v>275.7</v>
      </c>
      <c r="G132" s="11">
        <f>(F_R_Comp)*275.7</f>
        <v>275.7</v>
      </c>
    </row>
    <row r="133" spans="1:7" x14ac:dyDescent="0.2">
      <c r="A133" s="8" t="s">
        <v>708</v>
      </c>
      <c r="B133" s="8">
        <v>21</v>
      </c>
      <c r="C133" s="8">
        <v>400</v>
      </c>
      <c r="D133" s="9">
        <v>2300</v>
      </c>
      <c r="E133" s="2" t="s">
        <v>709</v>
      </c>
      <c r="F133" s="10">
        <v>311.07</v>
      </c>
      <c r="G133" s="11">
        <f>(F_R_Comp)*311.07</f>
        <v>311.07</v>
      </c>
    </row>
    <row r="134" spans="1:7" x14ac:dyDescent="0.2">
      <c r="A134" s="8" t="s">
        <v>710</v>
      </c>
      <c r="B134" s="8">
        <v>21</v>
      </c>
      <c r="C134" s="8">
        <v>400</v>
      </c>
      <c r="D134" s="9">
        <v>2600</v>
      </c>
      <c r="E134" s="2" t="s">
        <v>711</v>
      </c>
      <c r="F134" s="10">
        <v>346.03</v>
      </c>
      <c r="G134" s="11">
        <f>(F_R_Comp)*346.03</f>
        <v>346.03</v>
      </c>
    </row>
    <row r="135" spans="1:7" x14ac:dyDescent="0.2">
      <c r="A135" s="8" t="s">
        <v>712</v>
      </c>
      <c r="B135" s="8">
        <v>21</v>
      </c>
      <c r="C135" s="8">
        <v>400</v>
      </c>
      <c r="D135" s="9">
        <v>3000</v>
      </c>
      <c r="E135" s="2" t="s">
        <v>713</v>
      </c>
      <c r="F135" s="10">
        <v>393.09</v>
      </c>
      <c r="G135" s="11">
        <f>(F_R_Comp)*393.09</f>
        <v>393.09</v>
      </c>
    </row>
    <row r="136" spans="1:7" x14ac:dyDescent="0.2">
      <c r="A136" s="8" t="s">
        <v>714</v>
      </c>
      <c r="B136" s="8">
        <v>21</v>
      </c>
      <c r="C136" s="8">
        <v>500</v>
      </c>
      <c r="D136" s="9">
        <v>400</v>
      </c>
      <c r="E136" s="2" t="s">
        <v>715</v>
      </c>
      <c r="F136" s="10">
        <v>103.97</v>
      </c>
      <c r="G136" s="11">
        <f>(F_R_Comp)*103.97</f>
        <v>103.97</v>
      </c>
    </row>
    <row r="137" spans="1:7" x14ac:dyDescent="0.2">
      <c r="A137" s="8" t="s">
        <v>716</v>
      </c>
      <c r="B137" s="8">
        <v>21</v>
      </c>
      <c r="C137" s="8">
        <v>500</v>
      </c>
      <c r="D137" s="9">
        <v>500</v>
      </c>
      <c r="E137" s="2" t="s">
        <v>717</v>
      </c>
      <c r="F137" s="10">
        <v>118.28</v>
      </c>
      <c r="G137" s="11">
        <f>(F_R_Comp)*118.28</f>
        <v>118.28</v>
      </c>
    </row>
    <row r="138" spans="1:7" x14ac:dyDescent="0.2">
      <c r="A138" s="8" t="s">
        <v>718</v>
      </c>
      <c r="B138" s="8">
        <v>21</v>
      </c>
      <c r="C138" s="8">
        <v>500</v>
      </c>
      <c r="D138" s="9">
        <v>600</v>
      </c>
      <c r="E138" s="2" t="s">
        <v>719</v>
      </c>
      <c r="F138" s="10">
        <v>131.94999999999999</v>
      </c>
      <c r="G138" s="11">
        <f>(F_R_Comp)*131.95</f>
        <v>131.94999999999999</v>
      </c>
    </row>
    <row r="139" spans="1:7" x14ac:dyDescent="0.2">
      <c r="A139" s="8" t="s">
        <v>720</v>
      </c>
      <c r="B139" s="8">
        <v>21</v>
      </c>
      <c r="C139" s="8">
        <v>500</v>
      </c>
      <c r="D139" s="9">
        <v>700</v>
      </c>
      <c r="E139" s="2" t="s">
        <v>721</v>
      </c>
      <c r="F139" s="10">
        <v>146.01</v>
      </c>
      <c r="G139" s="11">
        <f>(F_R_Comp)*146.01</f>
        <v>146.01</v>
      </c>
    </row>
    <row r="140" spans="1:7" x14ac:dyDescent="0.2">
      <c r="A140" s="8" t="s">
        <v>722</v>
      </c>
      <c r="B140" s="8">
        <v>21</v>
      </c>
      <c r="C140" s="8">
        <v>500</v>
      </c>
      <c r="D140" s="9">
        <v>800</v>
      </c>
      <c r="E140" s="2" t="s">
        <v>723</v>
      </c>
      <c r="F140" s="10">
        <v>160.74</v>
      </c>
      <c r="G140" s="11">
        <f>(F_R_Comp)*160.74</f>
        <v>160.74</v>
      </c>
    </row>
    <row r="141" spans="1:7" x14ac:dyDescent="0.2">
      <c r="A141" s="8" t="s">
        <v>724</v>
      </c>
      <c r="B141" s="8">
        <v>21</v>
      </c>
      <c r="C141" s="8">
        <v>500</v>
      </c>
      <c r="D141" s="9">
        <v>900</v>
      </c>
      <c r="E141" s="2" t="s">
        <v>725</v>
      </c>
      <c r="F141" s="10">
        <v>175.19</v>
      </c>
      <c r="G141" s="11">
        <f>(F_R_Comp)*175.19</f>
        <v>175.19</v>
      </c>
    </row>
    <row r="142" spans="1:7" x14ac:dyDescent="0.2">
      <c r="A142" s="8" t="s">
        <v>726</v>
      </c>
      <c r="B142" s="8">
        <v>21</v>
      </c>
      <c r="C142" s="8">
        <v>500</v>
      </c>
      <c r="D142" s="9">
        <v>1000</v>
      </c>
      <c r="E142" s="2" t="s">
        <v>727</v>
      </c>
      <c r="F142" s="10">
        <v>188.83</v>
      </c>
      <c r="G142" s="11">
        <f>(F_R_Comp)*188.83</f>
        <v>188.83</v>
      </c>
    </row>
    <row r="143" spans="1:7" x14ac:dyDescent="0.2">
      <c r="A143" s="8" t="s">
        <v>728</v>
      </c>
      <c r="B143" s="8">
        <v>21</v>
      </c>
      <c r="C143" s="8">
        <v>500</v>
      </c>
      <c r="D143" s="9">
        <v>1100</v>
      </c>
      <c r="E143" s="2" t="s">
        <v>729</v>
      </c>
      <c r="F143" s="10">
        <v>203.15</v>
      </c>
      <c r="G143" s="11">
        <f>(F_R_Comp)*203.15</f>
        <v>203.15</v>
      </c>
    </row>
    <row r="144" spans="1:7" x14ac:dyDescent="0.2">
      <c r="A144" s="8" t="s">
        <v>730</v>
      </c>
      <c r="B144" s="8">
        <v>21</v>
      </c>
      <c r="C144" s="8">
        <v>500</v>
      </c>
      <c r="D144" s="9">
        <v>1200</v>
      </c>
      <c r="E144" s="2" t="s">
        <v>731</v>
      </c>
      <c r="F144" s="10">
        <v>217.26</v>
      </c>
      <c r="G144" s="11">
        <f>(F_R_Comp)*217.26</f>
        <v>217.26</v>
      </c>
    </row>
    <row r="145" spans="1:7" x14ac:dyDescent="0.2">
      <c r="A145" s="8" t="s">
        <v>732</v>
      </c>
      <c r="B145" s="8">
        <v>21</v>
      </c>
      <c r="C145" s="8">
        <v>500</v>
      </c>
      <c r="D145" s="9">
        <v>1400</v>
      </c>
      <c r="E145" s="2" t="s">
        <v>733</v>
      </c>
      <c r="F145" s="10">
        <v>246.07</v>
      </c>
      <c r="G145" s="11">
        <f>(F_R_Comp)*246.07</f>
        <v>246.07</v>
      </c>
    </row>
    <row r="146" spans="1:7" x14ac:dyDescent="0.2">
      <c r="A146" s="8" t="s">
        <v>734</v>
      </c>
      <c r="B146" s="8">
        <v>21</v>
      </c>
      <c r="C146" s="8">
        <v>500</v>
      </c>
      <c r="D146" s="9">
        <v>1600</v>
      </c>
      <c r="E146" s="2" t="s">
        <v>735</v>
      </c>
      <c r="F146" s="10">
        <v>274.14</v>
      </c>
      <c r="G146" s="11">
        <f>(F_R_Comp)*274.14</f>
        <v>274.14</v>
      </c>
    </row>
    <row r="147" spans="1:7" x14ac:dyDescent="0.2">
      <c r="A147" s="8" t="s">
        <v>736</v>
      </c>
      <c r="B147" s="8">
        <v>21</v>
      </c>
      <c r="C147" s="8">
        <v>500</v>
      </c>
      <c r="D147" s="9">
        <v>1800</v>
      </c>
      <c r="E147" s="2" t="s">
        <v>737</v>
      </c>
      <c r="F147" s="10">
        <v>302.54000000000002</v>
      </c>
      <c r="G147" s="11">
        <f>(F_R_Comp)*302.54</f>
        <v>302.54000000000002</v>
      </c>
    </row>
    <row r="148" spans="1:7" x14ac:dyDescent="0.2">
      <c r="A148" s="8" t="s">
        <v>738</v>
      </c>
      <c r="B148" s="8">
        <v>21</v>
      </c>
      <c r="C148" s="8">
        <v>500</v>
      </c>
      <c r="D148" s="9">
        <v>2000</v>
      </c>
      <c r="E148" s="2" t="s">
        <v>739</v>
      </c>
      <c r="F148" s="10">
        <v>330.62</v>
      </c>
      <c r="G148" s="11">
        <f>(F_R_Comp)*330.62</f>
        <v>330.62</v>
      </c>
    </row>
    <row r="149" spans="1:7" x14ac:dyDescent="0.2">
      <c r="A149" s="8" t="s">
        <v>740</v>
      </c>
      <c r="B149" s="8">
        <v>21</v>
      </c>
      <c r="C149" s="8">
        <v>500</v>
      </c>
      <c r="D149" s="9">
        <v>2300</v>
      </c>
      <c r="E149" s="2" t="s">
        <v>741</v>
      </c>
      <c r="F149" s="10">
        <v>374.16</v>
      </c>
      <c r="G149" s="11">
        <f>(F_R_Comp)*374.16</f>
        <v>374.16</v>
      </c>
    </row>
    <row r="150" spans="1:7" x14ac:dyDescent="0.2">
      <c r="A150" s="8" t="s">
        <v>742</v>
      </c>
      <c r="B150" s="8">
        <v>21</v>
      </c>
      <c r="C150" s="8">
        <v>500</v>
      </c>
      <c r="D150" s="9">
        <v>2600</v>
      </c>
      <c r="E150" s="2" t="s">
        <v>743</v>
      </c>
      <c r="F150" s="10">
        <v>416.61</v>
      </c>
      <c r="G150" s="11">
        <f>(F_R_Comp)*416.61</f>
        <v>416.61</v>
      </c>
    </row>
    <row r="151" spans="1:7" x14ac:dyDescent="0.2">
      <c r="A151" s="8" t="s">
        <v>744</v>
      </c>
      <c r="B151" s="8">
        <v>21</v>
      </c>
      <c r="C151" s="8">
        <v>500</v>
      </c>
      <c r="D151" s="9">
        <v>3000</v>
      </c>
      <c r="E151" s="2" t="s">
        <v>745</v>
      </c>
      <c r="F151" s="10">
        <v>473.12</v>
      </c>
      <c r="G151" s="11">
        <f>(F_R_Comp)*473.12</f>
        <v>473.12</v>
      </c>
    </row>
    <row r="152" spans="1:7" x14ac:dyDescent="0.2">
      <c r="A152" s="8">
        <v>1221550040</v>
      </c>
      <c r="B152" s="8">
        <v>21</v>
      </c>
      <c r="C152" s="8">
        <v>550</v>
      </c>
      <c r="D152" s="9">
        <v>400</v>
      </c>
      <c r="E152" s="2" t="s">
        <v>5294</v>
      </c>
      <c r="F152" s="10">
        <v>108.26865000000001</v>
      </c>
      <c r="G152" s="11">
        <f>(F_R_Comp)*108.26865</f>
        <v>108.26864999999999</v>
      </c>
    </row>
    <row r="153" spans="1:7" x14ac:dyDescent="0.2">
      <c r="A153" s="8">
        <v>1221550050</v>
      </c>
      <c r="B153" s="8">
        <v>21</v>
      </c>
      <c r="C153" s="8">
        <v>550</v>
      </c>
      <c r="D153" s="9">
        <v>500</v>
      </c>
      <c r="E153" s="2" t="s">
        <v>5295</v>
      </c>
      <c r="F153" s="10">
        <v>122.69880000000001</v>
      </c>
      <c r="G153" s="11">
        <f>(F_R_Comp)*122.6988</f>
        <v>122.69880000000001</v>
      </c>
    </row>
    <row r="154" spans="1:7" x14ac:dyDescent="0.2">
      <c r="A154" s="8">
        <v>1221550060</v>
      </c>
      <c r="B154" s="8">
        <v>21</v>
      </c>
      <c r="C154" s="8">
        <v>550</v>
      </c>
      <c r="D154" s="9">
        <v>600</v>
      </c>
      <c r="E154" s="2" t="s">
        <v>5296</v>
      </c>
      <c r="F154" s="10">
        <v>137.21400000000003</v>
      </c>
      <c r="G154" s="11">
        <f>(F_R_Comp)*137.214</f>
        <v>137.214</v>
      </c>
    </row>
    <row r="155" spans="1:7" x14ac:dyDescent="0.2">
      <c r="A155" s="8">
        <v>1221550070</v>
      </c>
      <c r="B155" s="8">
        <v>21</v>
      </c>
      <c r="C155" s="8">
        <v>550</v>
      </c>
      <c r="D155" s="9">
        <v>700</v>
      </c>
      <c r="E155" s="2" t="s">
        <v>5297</v>
      </c>
      <c r="F155" s="10">
        <v>152.367075</v>
      </c>
      <c r="G155" s="11">
        <f>(F_R_Comp)*152.367075</f>
        <v>152.367075</v>
      </c>
    </row>
    <row r="156" spans="1:7" x14ac:dyDescent="0.2">
      <c r="A156" s="8">
        <v>1221550080</v>
      </c>
      <c r="B156" s="8">
        <v>21</v>
      </c>
      <c r="C156" s="8">
        <v>550</v>
      </c>
      <c r="D156" s="9">
        <v>800</v>
      </c>
      <c r="E156" s="2" t="s">
        <v>5298</v>
      </c>
      <c r="F156" s="10">
        <v>167.81782500000003</v>
      </c>
      <c r="G156" s="11">
        <f>(F_R_Comp)*167.817825</f>
        <v>167.817825</v>
      </c>
    </row>
    <row r="157" spans="1:7" x14ac:dyDescent="0.2">
      <c r="A157" s="8">
        <v>1221550090</v>
      </c>
      <c r="B157" s="8">
        <v>21</v>
      </c>
      <c r="C157" s="8">
        <v>550</v>
      </c>
      <c r="D157" s="9">
        <v>900</v>
      </c>
      <c r="E157" s="2" t="s">
        <v>5299</v>
      </c>
      <c r="F157" s="10">
        <v>182.80080000000001</v>
      </c>
      <c r="G157" s="11">
        <f>(F_R_Comp)*182.8008</f>
        <v>182.80080000000001</v>
      </c>
    </row>
    <row r="158" spans="1:7" x14ac:dyDescent="0.2">
      <c r="A158" s="8">
        <v>1221550100</v>
      </c>
      <c r="B158" s="8">
        <v>21</v>
      </c>
      <c r="C158" s="8">
        <v>550</v>
      </c>
      <c r="D158" s="9">
        <v>1000</v>
      </c>
      <c r="E158" s="2" t="s">
        <v>5300</v>
      </c>
      <c r="F158" s="10">
        <v>197.8263</v>
      </c>
      <c r="G158" s="11">
        <f>(F_R_Comp)*197.8263</f>
        <v>197.8263</v>
      </c>
    </row>
    <row r="159" spans="1:7" x14ac:dyDescent="0.2">
      <c r="A159" s="8">
        <v>1221550110</v>
      </c>
      <c r="B159" s="8">
        <v>21</v>
      </c>
      <c r="C159" s="8">
        <v>550</v>
      </c>
      <c r="D159" s="9">
        <v>1100</v>
      </c>
      <c r="E159" s="2" t="s">
        <v>5301</v>
      </c>
      <c r="F159" s="10">
        <v>212.92267500000003</v>
      </c>
      <c r="G159" s="11">
        <f>(F_R_Comp)*212.922675</f>
        <v>212.922675</v>
      </c>
    </row>
    <row r="160" spans="1:7" x14ac:dyDescent="0.2">
      <c r="A160" s="8">
        <v>1221550120</v>
      </c>
      <c r="B160" s="8">
        <v>21</v>
      </c>
      <c r="C160" s="8">
        <v>550</v>
      </c>
      <c r="D160" s="9">
        <v>1200</v>
      </c>
      <c r="E160" s="2" t="s">
        <v>5302</v>
      </c>
      <c r="F160" s="10">
        <v>227.79225</v>
      </c>
      <c r="G160" s="11">
        <f>(F_R_Comp)*227.79225</f>
        <v>227.79225</v>
      </c>
    </row>
    <row r="161" spans="1:7" x14ac:dyDescent="0.2">
      <c r="A161" s="8">
        <v>1221550140</v>
      </c>
      <c r="B161" s="8">
        <v>21</v>
      </c>
      <c r="C161" s="8">
        <v>550</v>
      </c>
      <c r="D161" s="9">
        <v>1400</v>
      </c>
      <c r="E161" s="2" t="s">
        <v>5303</v>
      </c>
      <c r="F161" s="10">
        <v>257.800725</v>
      </c>
      <c r="G161" s="11">
        <f>(F_R_Comp)*257.800725</f>
        <v>257.800725</v>
      </c>
    </row>
    <row r="162" spans="1:7" x14ac:dyDescent="0.2">
      <c r="A162" s="8">
        <v>1221550160</v>
      </c>
      <c r="B162" s="8">
        <v>21</v>
      </c>
      <c r="C162" s="8">
        <v>550</v>
      </c>
      <c r="D162" s="9">
        <v>1600</v>
      </c>
      <c r="E162" s="2" t="s">
        <v>5304</v>
      </c>
      <c r="F162" s="10">
        <v>288.06434999999999</v>
      </c>
      <c r="G162" s="11">
        <f>(F_R_Comp)*288.06435</f>
        <v>288.06434999999999</v>
      </c>
    </row>
    <row r="163" spans="1:7" x14ac:dyDescent="0.2">
      <c r="A163" s="8">
        <v>1221550180</v>
      </c>
      <c r="B163" s="8">
        <v>21</v>
      </c>
      <c r="C163" s="8">
        <v>550</v>
      </c>
      <c r="D163" s="9">
        <v>1800</v>
      </c>
      <c r="E163" s="2" t="s">
        <v>5305</v>
      </c>
      <c r="F163" s="10">
        <v>318.07282499999997</v>
      </c>
      <c r="G163" s="11">
        <f>(F_R_Comp)*318.072825</f>
        <v>318.07282500000002</v>
      </c>
    </row>
    <row r="164" spans="1:7" x14ac:dyDescent="0.2">
      <c r="A164" s="8">
        <v>1221550200</v>
      </c>
      <c r="B164" s="8">
        <v>21</v>
      </c>
      <c r="C164" s="8">
        <v>550</v>
      </c>
      <c r="D164" s="9">
        <v>2000</v>
      </c>
      <c r="E164" s="2" t="s">
        <v>5306</v>
      </c>
      <c r="F164" s="10">
        <v>348.16635000000002</v>
      </c>
      <c r="G164" s="11">
        <f>(F_R_Comp)*348.16635</f>
        <v>348.16635000000002</v>
      </c>
    </row>
    <row r="165" spans="1:7" x14ac:dyDescent="0.2">
      <c r="A165" s="8">
        <v>1221550230</v>
      </c>
      <c r="B165" s="8">
        <v>21</v>
      </c>
      <c r="C165" s="8">
        <v>550</v>
      </c>
      <c r="D165" s="9">
        <v>2300</v>
      </c>
      <c r="E165" s="2" t="s">
        <v>5307</v>
      </c>
      <c r="F165" s="10">
        <v>393.78149999999999</v>
      </c>
      <c r="G165" s="11">
        <f>(F_R_Comp)*393.7815</f>
        <v>393.78149999999999</v>
      </c>
    </row>
    <row r="166" spans="1:7" x14ac:dyDescent="0.2">
      <c r="A166" s="8">
        <v>1221550260</v>
      </c>
      <c r="B166" s="8">
        <v>21</v>
      </c>
      <c r="C166" s="8">
        <v>550</v>
      </c>
      <c r="D166" s="9">
        <v>2600</v>
      </c>
      <c r="E166" s="2" t="s">
        <v>5308</v>
      </c>
      <c r="F166" s="10">
        <v>439.02810000000005</v>
      </c>
      <c r="G166" s="11">
        <f>(F_R_Comp)*439.0281</f>
        <v>439.02809999999999</v>
      </c>
    </row>
    <row r="167" spans="1:7" x14ac:dyDescent="0.2">
      <c r="A167" s="8">
        <v>1221550300</v>
      </c>
      <c r="B167" s="8">
        <v>21</v>
      </c>
      <c r="C167" s="8">
        <v>550</v>
      </c>
      <c r="D167" s="9">
        <v>3000</v>
      </c>
      <c r="E167" s="2" t="s">
        <v>5309</v>
      </c>
      <c r="F167" s="10">
        <v>499.17262499999998</v>
      </c>
      <c r="G167" s="11">
        <f>(F_R_Comp)*499.172625</f>
        <v>499.17262499999998</v>
      </c>
    </row>
    <row r="168" spans="1:7" x14ac:dyDescent="0.2">
      <c r="A168" s="8" t="s">
        <v>746</v>
      </c>
      <c r="B168" s="8">
        <v>21</v>
      </c>
      <c r="C168" s="8">
        <v>600</v>
      </c>
      <c r="D168" s="9">
        <v>400</v>
      </c>
      <c r="E168" s="2" t="s">
        <v>747</v>
      </c>
      <c r="F168" s="10">
        <v>111.44</v>
      </c>
      <c r="G168" s="11">
        <f>(F_R_Comp)*111.44</f>
        <v>111.44</v>
      </c>
    </row>
    <row r="169" spans="1:7" x14ac:dyDescent="0.2">
      <c r="A169" s="8" t="s">
        <v>748</v>
      </c>
      <c r="B169" s="8">
        <v>21</v>
      </c>
      <c r="C169" s="8">
        <v>600</v>
      </c>
      <c r="D169" s="9">
        <v>500</v>
      </c>
      <c r="E169" s="2" t="s">
        <v>749</v>
      </c>
      <c r="F169" s="10">
        <v>125.78</v>
      </c>
      <c r="G169" s="11">
        <f>(F_R_Comp)*125.78</f>
        <v>125.78</v>
      </c>
    </row>
    <row r="170" spans="1:7" x14ac:dyDescent="0.2">
      <c r="A170" s="8" t="s">
        <v>750</v>
      </c>
      <c r="B170" s="8">
        <v>21</v>
      </c>
      <c r="C170" s="8">
        <v>600</v>
      </c>
      <c r="D170" s="9">
        <v>600</v>
      </c>
      <c r="E170" s="2" t="s">
        <v>751</v>
      </c>
      <c r="F170" s="10">
        <v>141.16999999999999</v>
      </c>
      <c r="G170" s="11">
        <f>(F_R_Comp)*141.17</f>
        <v>141.16999999999999</v>
      </c>
    </row>
    <row r="171" spans="1:7" x14ac:dyDescent="0.2">
      <c r="A171" s="8" t="s">
        <v>752</v>
      </c>
      <c r="B171" s="8">
        <v>21</v>
      </c>
      <c r="C171" s="8">
        <v>600</v>
      </c>
      <c r="D171" s="9">
        <v>700</v>
      </c>
      <c r="E171" s="2" t="s">
        <v>753</v>
      </c>
      <c r="F171" s="10">
        <v>156.80000000000001</v>
      </c>
      <c r="G171" s="11">
        <f>(F_R_Comp)*156.8</f>
        <v>156.80000000000001</v>
      </c>
    </row>
    <row r="172" spans="1:7" x14ac:dyDescent="0.2">
      <c r="A172" s="8" t="s">
        <v>754</v>
      </c>
      <c r="B172" s="8">
        <v>21</v>
      </c>
      <c r="C172" s="8">
        <v>600</v>
      </c>
      <c r="D172" s="9">
        <v>800</v>
      </c>
      <c r="E172" s="2" t="s">
        <v>755</v>
      </c>
      <c r="F172" s="10">
        <v>172.56</v>
      </c>
      <c r="G172" s="11">
        <f>(F_R_Comp)*172.56</f>
        <v>172.56</v>
      </c>
    </row>
    <row r="173" spans="1:7" x14ac:dyDescent="0.2">
      <c r="A173" s="8" t="s">
        <v>756</v>
      </c>
      <c r="B173" s="8">
        <v>21</v>
      </c>
      <c r="C173" s="8">
        <v>600</v>
      </c>
      <c r="D173" s="9">
        <v>900</v>
      </c>
      <c r="E173" s="2" t="s">
        <v>757</v>
      </c>
      <c r="F173" s="10">
        <v>188.61</v>
      </c>
      <c r="G173" s="11">
        <f>(F_R_Comp)*188.61</f>
        <v>188.61</v>
      </c>
    </row>
    <row r="174" spans="1:7" x14ac:dyDescent="0.2">
      <c r="A174" s="8" t="s">
        <v>758</v>
      </c>
      <c r="B174" s="8">
        <v>21</v>
      </c>
      <c r="C174" s="8">
        <v>600</v>
      </c>
      <c r="D174" s="9">
        <v>1000</v>
      </c>
      <c r="E174" s="2" t="s">
        <v>759</v>
      </c>
      <c r="F174" s="10">
        <v>204.26</v>
      </c>
      <c r="G174" s="11">
        <f>(F_R_Comp)*204.26</f>
        <v>204.26</v>
      </c>
    </row>
    <row r="175" spans="1:7" x14ac:dyDescent="0.2">
      <c r="A175" s="8" t="s">
        <v>760</v>
      </c>
      <c r="B175" s="8">
        <v>21</v>
      </c>
      <c r="C175" s="8">
        <v>600</v>
      </c>
      <c r="D175" s="9">
        <v>1100</v>
      </c>
      <c r="E175" s="2" t="s">
        <v>761</v>
      </c>
      <c r="F175" s="10">
        <v>220.25</v>
      </c>
      <c r="G175" s="11">
        <f>(F_R_Comp)*220.25</f>
        <v>220.25</v>
      </c>
    </row>
    <row r="176" spans="1:7" x14ac:dyDescent="0.2">
      <c r="A176" s="8" t="s">
        <v>762</v>
      </c>
      <c r="B176" s="8">
        <v>21</v>
      </c>
      <c r="C176" s="8">
        <v>600</v>
      </c>
      <c r="D176" s="9">
        <v>1200</v>
      </c>
      <c r="E176" s="2" t="s">
        <v>763</v>
      </c>
      <c r="F176" s="10">
        <v>235.23</v>
      </c>
      <c r="G176" s="11">
        <f>(F_R_Comp)*235.23</f>
        <v>235.23</v>
      </c>
    </row>
    <row r="177" spans="1:7" x14ac:dyDescent="0.2">
      <c r="A177" s="8" t="s">
        <v>764</v>
      </c>
      <c r="B177" s="8">
        <v>21</v>
      </c>
      <c r="C177" s="8">
        <v>600</v>
      </c>
      <c r="D177" s="9">
        <v>1400</v>
      </c>
      <c r="E177" s="2" t="s">
        <v>765</v>
      </c>
      <c r="F177" s="10">
        <v>266.89999999999998</v>
      </c>
      <c r="G177" s="11">
        <f>(F_R_Comp)*266.9</f>
        <v>266.89999999999998</v>
      </c>
    </row>
    <row r="178" spans="1:7" x14ac:dyDescent="0.2">
      <c r="A178" s="8" t="s">
        <v>766</v>
      </c>
      <c r="B178" s="8">
        <v>21</v>
      </c>
      <c r="C178" s="8">
        <v>600</v>
      </c>
      <c r="D178" s="9">
        <v>1600</v>
      </c>
      <c r="E178" s="2" t="s">
        <v>767</v>
      </c>
      <c r="F178" s="10">
        <v>298.33999999999997</v>
      </c>
      <c r="G178" s="11">
        <f>(F_R_Comp)*298.34</f>
        <v>298.33999999999997</v>
      </c>
    </row>
    <row r="179" spans="1:7" x14ac:dyDescent="0.2">
      <c r="A179" s="8" t="s">
        <v>768</v>
      </c>
      <c r="B179" s="8">
        <v>21</v>
      </c>
      <c r="C179" s="8">
        <v>600</v>
      </c>
      <c r="D179" s="9">
        <v>1800</v>
      </c>
      <c r="E179" s="2" t="s">
        <v>769</v>
      </c>
      <c r="F179" s="10">
        <v>329.71</v>
      </c>
      <c r="G179" s="11">
        <f>(F_R_Comp)*329.71</f>
        <v>329.71</v>
      </c>
    </row>
    <row r="180" spans="1:7" x14ac:dyDescent="0.2">
      <c r="A180" s="8" t="s">
        <v>770</v>
      </c>
      <c r="B180" s="8">
        <v>21</v>
      </c>
      <c r="C180" s="8">
        <v>600</v>
      </c>
      <c r="D180" s="9">
        <v>2000</v>
      </c>
      <c r="E180" s="2" t="s">
        <v>771</v>
      </c>
      <c r="F180" s="10">
        <v>361.39</v>
      </c>
      <c r="G180" s="11">
        <f>(F_R_Comp)*361.39</f>
        <v>361.39</v>
      </c>
    </row>
    <row r="181" spans="1:7" x14ac:dyDescent="0.2">
      <c r="A181" s="8" t="s">
        <v>772</v>
      </c>
      <c r="B181" s="8">
        <v>21</v>
      </c>
      <c r="C181" s="8">
        <v>600</v>
      </c>
      <c r="D181" s="9">
        <v>2300</v>
      </c>
      <c r="E181" s="2" t="s">
        <v>773</v>
      </c>
      <c r="F181" s="10">
        <v>408.44</v>
      </c>
      <c r="G181" s="11">
        <f>(F_R_Comp)*408.44</f>
        <v>408.44</v>
      </c>
    </row>
    <row r="182" spans="1:7" x14ac:dyDescent="0.2">
      <c r="A182" s="8" t="s">
        <v>774</v>
      </c>
      <c r="B182" s="8">
        <v>21</v>
      </c>
      <c r="C182" s="8">
        <v>600</v>
      </c>
      <c r="D182" s="9">
        <v>2600</v>
      </c>
      <c r="E182" s="2" t="s">
        <v>775</v>
      </c>
      <c r="F182" s="10">
        <v>456.18</v>
      </c>
      <c r="G182" s="11">
        <f>(F_R_Comp)*456.18</f>
        <v>456.18</v>
      </c>
    </row>
    <row r="183" spans="1:7" x14ac:dyDescent="0.2">
      <c r="A183" s="8" t="s">
        <v>776</v>
      </c>
      <c r="B183" s="8">
        <v>21</v>
      </c>
      <c r="C183" s="8">
        <v>600</v>
      </c>
      <c r="D183" s="9">
        <v>3000</v>
      </c>
      <c r="E183" s="2" t="s">
        <v>777</v>
      </c>
      <c r="F183" s="10">
        <v>518.85</v>
      </c>
      <c r="G183" s="11">
        <f>(F_R_Comp)*518.85</f>
        <v>518.85</v>
      </c>
    </row>
    <row r="184" spans="1:7" x14ac:dyDescent="0.2">
      <c r="A184" s="8" t="s">
        <v>778</v>
      </c>
      <c r="B184" s="8">
        <v>21</v>
      </c>
      <c r="C184" s="8">
        <v>900</v>
      </c>
      <c r="D184" s="9">
        <v>400</v>
      </c>
      <c r="E184" s="2" t="s">
        <v>779</v>
      </c>
      <c r="F184" s="10">
        <v>157.47</v>
      </c>
      <c r="G184" s="11">
        <f>(F_R_Comp)*157.47</f>
        <v>157.47</v>
      </c>
    </row>
    <row r="185" spans="1:7" x14ac:dyDescent="0.2">
      <c r="A185" s="8" t="s">
        <v>780</v>
      </c>
      <c r="B185" s="8">
        <v>21</v>
      </c>
      <c r="C185" s="8">
        <v>900</v>
      </c>
      <c r="D185" s="9">
        <v>500</v>
      </c>
      <c r="E185" s="2" t="s">
        <v>781</v>
      </c>
      <c r="F185" s="10">
        <v>177.85</v>
      </c>
      <c r="G185" s="11">
        <f>(F_R_Comp)*177.85</f>
        <v>177.85</v>
      </c>
    </row>
    <row r="186" spans="1:7" x14ac:dyDescent="0.2">
      <c r="A186" s="8" t="s">
        <v>782</v>
      </c>
      <c r="B186" s="8">
        <v>21</v>
      </c>
      <c r="C186" s="8">
        <v>900</v>
      </c>
      <c r="D186" s="9">
        <v>600</v>
      </c>
      <c r="E186" s="2" t="s">
        <v>783</v>
      </c>
      <c r="F186" s="10">
        <v>198.7</v>
      </c>
      <c r="G186" s="11">
        <f>(F_R_Comp)*198.7</f>
        <v>198.7</v>
      </c>
    </row>
    <row r="187" spans="1:7" x14ac:dyDescent="0.2">
      <c r="A187" s="8" t="s">
        <v>784</v>
      </c>
      <c r="B187" s="8">
        <v>21</v>
      </c>
      <c r="C187" s="8">
        <v>900</v>
      </c>
      <c r="D187" s="9">
        <v>700</v>
      </c>
      <c r="E187" s="2" t="s">
        <v>785</v>
      </c>
      <c r="F187" s="10">
        <v>225.5</v>
      </c>
      <c r="G187" s="11">
        <f>(F_R_Comp)*225.5</f>
        <v>225.5</v>
      </c>
    </row>
    <row r="188" spans="1:7" x14ac:dyDescent="0.2">
      <c r="A188" s="8" t="s">
        <v>786</v>
      </c>
      <c r="B188" s="8">
        <v>21</v>
      </c>
      <c r="C188" s="8">
        <v>900</v>
      </c>
      <c r="D188" s="9">
        <v>800</v>
      </c>
      <c r="E188" s="2" t="s">
        <v>787</v>
      </c>
      <c r="F188" s="10">
        <v>251.54</v>
      </c>
      <c r="G188" s="11">
        <f>(F_R_Comp)*251.54</f>
        <v>251.54</v>
      </c>
    </row>
    <row r="189" spans="1:7" x14ac:dyDescent="0.2">
      <c r="A189" s="8" t="s">
        <v>788</v>
      </c>
      <c r="B189" s="8">
        <v>21</v>
      </c>
      <c r="C189" s="8">
        <v>900</v>
      </c>
      <c r="D189" s="9">
        <v>900</v>
      </c>
      <c r="E189" s="2" t="s">
        <v>789</v>
      </c>
      <c r="F189" s="10">
        <v>278.08999999999997</v>
      </c>
      <c r="G189" s="11">
        <f>(F_R_Comp)*278.09</f>
        <v>278.08999999999997</v>
      </c>
    </row>
    <row r="190" spans="1:7" x14ac:dyDescent="0.2">
      <c r="A190" s="8" t="s">
        <v>790</v>
      </c>
      <c r="B190" s="8">
        <v>21</v>
      </c>
      <c r="C190" s="8">
        <v>900</v>
      </c>
      <c r="D190" s="9">
        <v>1000</v>
      </c>
      <c r="E190" s="2" t="s">
        <v>791</v>
      </c>
      <c r="F190" s="10">
        <v>304.27</v>
      </c>
      <c r="G190" s="11">
        <f>(F_R_Comp)*304.27</f>
        <v>304.27</v>
      </c>
    </row>
    <row r="191" spans="1:7" x14ac:dyDescent="0.2">
      <c r="A191" s="8" t="s">
        <v>792</v>
      </c>
      <c r="B191" s="8">
        <v>21</v>
      </c>
      <c r="C191" s="8">
        <v>900</v>
      </c>
      <c r="D191" s="9">
        <v>1100</v>
      </c>
      <c r="E191" s="2" t="s">
        <v>793</v>
      </c>
      <c r="F191" s="10">
        <v>331.75</v>
      </c>
      <c r="G191" s="11">
        <f>(F_R_Comp)*331.75</f>
        <v>331.75</v>
      </c>
    </row>
    <row r="192" spans="1:7" x14ac:dyDescent="0.2">
      <c r="A192" s="8" t="s">
        <v>794</v>
      </c>
      <c r="B192" s="8">
        <v>21</v>
      </c>
      <c r="C192" s="8">
        <v>900</v>
      </c>
      <c r="D192" s="9">
        <v>1200</v>
      </c>
      <c r="E192" s="2" t="s">
        <v>795</v>
      </c>
      <c r="F192" s="10">
        <v>357.2</v>
      </c>
      <c r="G192" s="11">
        <f>(F_R_Comp)*357.2</f>
        <v>357.2</v>
      </c>
    </row>
    <row r="193" spans="1:7" x14ac:dyDescent="0.2">
      <c r="A193" s="8" t="s">
        <v>796</v>
      </c>
      <c r="B193" s="8">
        <v>21</v>
      </c>
      <c r="C193" s="8">
        <v>900</v>
      </c>
      <c r="D193" s="9">
        <v>1400</v>
      </c>
      <c r="E193" s="2" t="s">
        <v>797</v>
      </c>
      <c r="F193" s="10">
        <v>410.05</v>
      </c>
      <c r="G193" s="11">
        <f>(F_R_Comp)*410.05</f>
        <v>410.05</v>
      </c>
    </row>
    <row r="194" spans="1:7" x14ac:dyDescent="0.2">
      <c r="A194" s="8" t="s">
        <v>798</v>
      </c>
      <c r="B194" s="8">
        <v>21</v>
      </c>
      <c r="C194" s="8">
        <v>900</v>
      </c>
      <c r="D194" s="9">
        <v>1600</v>
      </c>
      <c r="E194" s="2" t="s">
        <v>799</v>
      </c>
      <c r="F194" s="10">
        <v>463.01</v>
      </c>
      <c r="G194" s="11">
        <f>(F_R_Comp)*463.01</f>
        <v>463.01</v>
      </c>
    </row>
    <row r="195" spans="1:7" x14ac:dyDescent="0.2">
      <c r="A195" s="8" t="s">
        <v>800</v>
      </c>
      <c r="B195" s="8">
        <v>21</v>
      </c>
      <c r="C195" s="8">
        <v>900</v>
      </c>
      <c r="D195" s="9">
        <v>1800</v>
      </c>
      <c r="E195" s="2" t="s">
        <v>801</v>
      </c>
      <c r="F195" s="10">
        <v>515.30999999999995</v>
      </c>
      <c r="G195" s="11">
        <f>(F_R_Comp)*515.31</f>
        <v>515.30999999999995</v>
      </c>
    </row>
    <row r="196" spans="1:7" x14ac:dyDescent="0.2">
      <c r="A196" s="8" t="s">
        <v>802</v>
      </c>
      <c r="B196" s="8">
        <v>21</v>
      </c>
      <c r="C196" s="8">
        <v>900</v>
      </c>
      <c r="D196" s="9">
        <v>2000</v>
      </c>
      <c r="E196" s="2" t="s">
        <v>803</v>
      </c>
      <c r="F196" s="10">
        <v>569.16999999999996</v>
      </c>
      <c r="G196" s="11">
        <f>(F_R_Comp)*569.17</f>
        <v>569.16999999999996</v>
      </c>
    </row>
    <row r="197" spans="1:7" x14ac:dyDescent="0.2">
      <c r="A197" s="8" t="s">
        <v>804</v>
      </c>
      <c r="B197" s="8">
        <v>22</v>
      </c>
      <c r="C197" s="8">
        <v>300</v>
      </c>
      <c r="D197" s="9">
        <v>400</v>
      </c>
      <c r="E197" s="2" t="s">
        <v>805</v>
      </c>
      <c r="F197" s="10">
        <v>85.56</v>
      </c>
      <c r="G197" s="11">
        <f>(F_R_Comp)*85.56</f>
        <v>85.56</v>
      </c>
    </row>
    <row r="198" spans="1:7" x14ac:dyDescent="0.2">
      <c r="A198" s="8" t="s">
        <v>806</v>
      </c>
      <c r="B198" s="8">
        <v>22</v>
      </c>
      <c r="C198" s="8">
        <v>300</v>
      </c>
      <c r="D198" s="9">
        <v>500</v>
      </c>
      <c r="E198" s="2" t="s">
        <v>807</v>
      </c>
      <c r="F198" s="10">
        <v>99.34</v>
      </c>
      <c r="G198" s="11">
        <f>(F_R_Comp)*99.34</f>
        <v>99.34</v>
      </c>
    </row>
    <row r="199" spans="1:7" x14ac:dyDescent="0.2">
      <c r="A199" s="8" t="s">
        <v>808</v>
      </c>
      <c r="B199" s="8">
        <v>22</v>
      </c>
      <c r="C199" s="8">
        <v>300</v>
      </c>
      <c r="D199" s="9">
        <v>600</v>
      </c>
      <c r="E199" s="2" t="s">
        <v>809</v>
      </c>
      <c r="F199" s="10">
        <v>111.07</v>
      </c>
      <c r="G199" s="11">
        <f>(F_R_Comp)*111.07</f>
        <v>111.07</v>
      </c>
    </row>
    <row r="200" spans="1:7" x14ac:dyDescent="0.2">
      <c r="A200" s="8" t="s">
        <v>810</v>
      </c>
      <c r="B200" s="8">
        <v>22</v>
      </c>
      <c r="C200" s="8">
        <v>300</v>
      </c>
      <c r="D200" s="9">
        <v>700</v>
      </c>
      <c r="E200" s="2" t="s">
        <v>811</v>
      </c>
      <c r="F200" s="10">
        <v>121.58</v>
      </c>
      <c r="G200" s="11">
        <f>(F_R_Comp)*121.58</f>
        <v>121.58</v>
      </c>
    </row>
    <row r="201" spans="1:7" x14ac:dyDescent="0.2">
      <c r="A201" s="8" t="s">
        <v>812</v>
      </c>
      <c r="B201" s="8">
        <v>22</v>
      </c>
      <c r="C201" s="8">
        <v>300</v>
      </c>
      <c r="D201" s="9">
        <v>800</v>
      </c>
      <c r="E201" s="2" t="s">
        <v>813</v>
      </c>
      <c r="F201" s="10">
        <v>131.94999999999999</v>
      </c>
      <c r="G201" s="11">
        <f>(F_R_Comp)*131.95</f>
        <v>131.94999999999999</v>
      </c>
    </row>
    <row r="202" spans="1:7" x14ac:dyDescent="0.2">
      <c r="A202" s="8" t="s">
        <v>814</v>
      </c>
      <c r="B202" s="8">
        <v>22</v>
      </c>
      <c r="C202" s="8">
        <v>300</v>
      </c>
      <c r="D202" s="9">
        <v>900</v>
      </c>
      <c r="E202" s="2" t="s">
        <v>815</v>
      </c>
      <c r="F202" s="10">
        <v>142.49</v>
      </c>
      <c r="G202" s="11">
        <f>(F_R_Comp)*142.49</f>
        <v>142.49</v>
      </c>
    </row>
    <row r="203" spans="1:7" x14ac:dyDescent="0.2">
      <c r="A203" s="8" t="s">
        <v>816</v>
      </c>
      <c r="B203" s="8">
        <v>22</v>
      </c>
      <c r="C203" s="8">
        <v>300</v>
      </c>
      <c r="D203" s="9">
        <v>1000</v>
      </c>
      <c r="E203" s="2" t="s">
        <v>817</v>
      </c>
      <c r="F203" s="10">
        <v>152.57</v>
      </c>
      <c r="G203" s="11">
        <f>(F_R_Comp)*152.57</f>
        <v>152.57</v>
      </c>
    </row>
    <row r="204" spans="1:7" x14ac:dyDescent="0.2">
      <c r="A204" s="8" t="s">
        <v>818</v>
      </c>
      <c r="B204" s="8">
        <v>22</v>
      </c>
      <c r="C204" s="8">
        <v>300</v>
      </c>
      <c r="D204" s="9">
        <v>1100</v>
      </c>
      <c r="E204" s="2" t="s">
        <v>819</v>
      </c>
      <c r="F204" s="10">
        <v>163.09</v>
      </c>
      <c r="G204" s="11">
        <f>(F_R_Comp)*163.09</f>
        <v>163.09</v>
      </c>
    </row>
    <row r="205" spans="1:7" x14ac:dyDescent="0.2">
      <c r="A205" s="8" t="s">
        <v>820</v>
      </c>
      <c r="B205" s="8">
        <v>22</v>
      </c>
      <c r="C205" s="8">
        <v>300</v>
      </c>
      <c r="D205" s="9">
        <v>1200</v>
      </c>
      <c r="E205" s="2" t="s">
        <v>821</v>
      </c>
      <c r="F205" s="10">
        <v>172.56</v>
      </c>
      <c r="G205" s="11">
        <f>(F_R_Comp)*172.56</f>
        <v>172.56</v>
      </c>
    </row>
    <row r="206" spans="1:7" x14ac:dyDescent="0.2">
      <c r="A206" s="8" t="s">
        <v>822</v>
      </c>
      <c r="B206" s="8">
        <v>22</v>
      </c>
      <c r="C206" s="8">
        <v>300</v>
      </c>
      <c r="D206" s="9">
        <v>1400</v>
      </c>
      <c r="E206" s="2" t="s">
        <v>823</v>
      </c>
      <c r="F206" s="10">
        <v>193.46</v>
      </c>
      <c r="G206" s="11">
        <f>(F_R_Comp)*193.46</f>
        <v>193.46</v>
      </c>
    </row>
    <row r="207" spans="1:7" x14ac:dyDescent="0.2">
      <c r="A207" s="8" t="s">
        <v>824</v>
      </c>
      <c r="B207" s="8">
        <v>22</v>
      </c>
      <c r="C207" s="8">
        <v>300</v>
      </c>
      <c r="D207" s="9">
        <v>1600</v>
      </c>
      <c r="E207" s="2" t="s">
        <v>825</v>
      </c>
      <c r="F207" s="10">
        <v>214.07</v>
      </c>
      <c r="G207" s="11">
        <f>(F_R_Comp)*214.07</f>
        <v>214.07</v>
      </c>
    </row>
    <row r="208" spans="1:7" x14ac:dyDescent="0.2">
      <c r="A208" s="8" t="s">
        <v>826</v>
      </c>
      <c r="B208" s="8">
        <v>22</v>
      </c>
      <c r="C208" s="8">
        <v>300</v>
      </c>
      <c r="D208" s="9">
        <v>1800</v>
      </c>
      <c r="E208" s="2" t="s">
        <v>827</v>
      </c>
      <c r="F208" s="10">
        <v>234.33</v>
      </c>
      <c r="G208" s="11">
        <f>(F_R_Comp)*234.33</f>
        <v>234.33</v>
      </c>
    </row>
    <row r="209" spans="1:7" x14ac:dyDescent="0.2">
      <c r="A209" s="8" t="s">
        <v>828</v>
      </c>
      <c r="B209" s="8">
        <v>22</v>
      </c>
      <c r="C209" s="8">
        <v>300</v>
      </c>
      <c r="D209" s="9">
        <v>2000</v>
      </c>
      <c r="E209" s="2" t="s">
        <v>829</v>
      </c>
      <c r="F209" s="10">
        <v>254.84</v>
      </c>
      <c r="G209" s="11">
        <f>(F_R_Comp)*254.84</f>
        <v>254.84</v>
      </c>
    </row>
    <row r="210" spans="1:7" x14ac:dyDescent="0.2">
      <c r="A210" s="8" t="s">
        <v>830</v>
      </c>
      <c r="B210" s="8">
        <v>22</v>
      </c>
      <c r="C210" s="8">
        <v>300</v>
      </c>
      <c r="D210" s="9">
        <v>2300</v>
      </c>
      <c r="E210" s="2" t="s">
        <v>831</v>
      </c>
      <c r="F210" s="10">
        <v>285.32</v>
      </c>
      <c r="G210" s="11">
        <f>(F_R_Comp)*285.32</f>
        <v>285.32</v>
      </c>
    </row>
    <row r="211" spans="1:7" x14ac:dyDescent="0.2">
      <c r="A211" s="8" t="s">
        <v>832</v>
      </c>
      <c r="B211" s="8">
        <v>22</v>
      </c>
      <c r="C211" s="8">
        <v>300</v>
      </c>
      <c r="D211" s="9">
        <v>2600</v>
      </c>
      <c r="E211" s="2" t="s">
        <v>833</v>
      </c>
      <c r="F211" s="10">
        <v>316.61</v>
      </c>
      <c r="G211" s="11">
        <f>(F_R_Comp)*316.61</f>
        <v>316.61</v>
      </c>
    </row>
    <row r="212" spans="1:7" x14ac:dyDescent="0.2">
      <c r="A212" s="8" t="s">
        <v>834</v>
      </c>
      <c r="B212" s="8">
        <v>22</v>
      </c>
      <c r="C212" s="8">
        <v>300</v>
      </c>
      <c r="D212" s="9">
        <v>3000</v>
      </c>
      <c r="E212" s="2" t="s">
        <v>835</v>
      </c>
      <c r="F212" s="10">
        <v>357.46</v>
      </c>
      <c r="G212" s="11">
        <f>(F_R_Comp)*357.46</f>
        <v>357.46</v>
      </c>
    </row>
    <row r="213" spans="1:7" x14ac:dyDescent="0.2">
      <c r="A213" s="8" t="s">
        <v>836</v>
      </c>
      <c r="B213" s="8">
        <v>22</v>
      </c>
      <c r="C213" s="8">
        <v>400</v>
      </c>
      <c r="D213" s="9">
        <v>400</v>
      </c>
      <c r="E213" s="2" t="s">
        <v>837</v>
      </c>
      <c r="F213" s="10">
        <v>94.72</v>
      </c>
      <c r="G213" s="11">
        <f>(F_R_Comp)*94.72</f>
        <v>94.72</v>
      </c>
    </row>
    <row r="214" spans="1:7" x14ac:dyDescent="0.2">
      <c r="A214" s="8" t="s">
        <v>838</v>
      </c>
      <c r="B214" s="8">
        <v>22</v>
      </c>
      <c r="C214" s="8">
        <v>400</v>
      </c>
      <c r="D214" s="9">
        <v>500</v>
      </c>
      <c r="E214" s="2" t="s">
        <v>839</v>
      </c>
      <c r="F214" s="10">
        <v>107.77</v>
      </c>
      <c r="G214" s="11">
        <f>(F_R_Comp)*107.77</f>
        <v>107.77</v>
      </c>
    </row>
    <row r="215" spans="1:7" x14ac:dyDescent="0.2">
      <c r="A215" s="8" t="s">
        <v>840</v>
      </c>
      <c r="B215" s="8">
        <v>22</v>
      </c>
      <c r="C215" s="8">
        <v>400</v>
      </c>
      <c r="D215" s="9">
        <v>600</v>
      </c>
      <c r="E215" s="2" t="s">
        <v>841</v>
      </c>
      <c r="F215" s="10">
        <v>120.27</v>
      </c>
      <c r="G215" s="11">
        <f>(F_R_Comp)*120.27</f>
        <v>120.27</v>
      </c>
    </row>
    <row r="216" spans="1:7" x14ac:dyDescent="0.2">
      <c r="A216" s="8" t="s">
        <v>842</v>
      </c>
      <c r="B216" s="8">
        <v>22</v>
      </c>
      <c r="C216" s="8">
        <v>400</v>
      </c>
      <c r="D216" s="9">
        <v>700</v>
      </c>
      <c r="E216" s="2" t="s">
        <v>843</v>
      </c>
      <c r="F216" s="10">
        <v>132.62</v>
      </c>
      <c r="G216" s="11">
        <f>(F_R_Comp)*132.62</f>
        <v>132.62</v>
      </c>
    </row>
    <row r="217" spans="1:7" x14ac:dyDescent="0.2">
      <c r="A217" s="8" t="s">
        <v>844</v>
      </c>
      <c r="B217" s="8">
        <v>22</v>
      </c>
      <c r="C217" s="8">
        <v>400</v>
      </c>
      <c r="D217" s="9">
        <v>800</v>
      </c>
      <c r="E217" s="2" t="s">
        <v>845</v>
      </c>
      <c r="F217" s="10">
        <v>144.69</v>
      </c>
      <c r="G217" s="11">
        <f>(F_R_Comp)*144.69</f>
        <v>144.69</v>
      </c>
    </row>
    <row r="218" spans="1:7" x14ac:dyDescent="0.2">
      <c r="A218" s="8" t="s">
        <v>846</v>
      </c>
      <c r="B218" s="8">
        <v>22</v>
      </c>
      <c r="C218" s="8">
        <v>400</v>
      </c>
      <c r="D218" s="9">
        <v>900</v>
      </c>
      <c r="E218" s="2" t="s">
        <v>847</v>
      </c>
      <c r="F218" s="10">
        <v>157.47</v>
      </c>
      <c r="G218" s="11">
        <f>(F_R_Comp)*157.47</f>
        <v>157.47</v>
      </c>
    </row>
    <row r="219" spans="1:7" x14ac:dyDescent="0.2">
      <c r="A219" s="8" t="s">
        <v>848</v>
      </c>
      <c r="B219" s="8">
        <v>22</v>
      </c>
      <c r="C219" s="8">
        <v>400</v>
      </c>
      <c r="D219" s="9">
        <v>1000</v>
      </c>
      <c r="E219" s="2" t="s">
        <v>849</v>
      </c>
      <c r="F219" s="10">
        <v>169.54</v>
      </c>
      <c r="G219" s="11">
        <f>(F_R_Comp)*169.54</f>
        <v>169.54</v>
      </c>
    </row>
    <row r="220" spans="1:7" x14ac:dyDescent="0.2">
      <c r="A220" s="8" t="s">
        <v>850</v>
      </c>
      <c r="B220" s="8">
        <v>22</v>
      </c>
      <c r="C220" s="8">
        <v>400</v>
      </c>
      <c r="D220" s="9">
        <v>1100</v>
      </c>
      <c r="E220" s="2" t="s">
        <v>851</v>
      </c>
      <c r="F220" s="10">
        <v>182.7</v>
      </c>
      <c r="G220" s="11">
        <f>(F_R_Comp)*182.7</f>
        <v>182.7</v>
      </c>
    </row>
    <row r="221" spans="1:7" x14ac:dyDescent="0.2">
      <c r="A221" s="8" t="s">
        <v>852</v>
      </c>
      <c r="B221" s="8">
        <v>22</v>
      </c>
      <c r="C221" s="8">
        <v>400</v>
      </c>
      <c r="D221" s="9">
        <v>1200</v>
      </c>
      <c r="E221" s="2" t="s">
        <v>853</v>
      </c>
      <c r="F221" s="10">
        <v>195.06</v>
      </c>
      <c r="G221" s="11">
        <f>(F_R_Comp)*195.06</f>
        <v>195.06</v>
      </c>
    </row>
    <row r="222" spans="1:7" x14ac:dyDescent="0.2">
      <c r="A222" s="8" t="s">
        <v>854</v>
      </c>
      <c r="B222" s="8">
        <v>22</v>
      </c>
      <c r="C222" s="8">
        <v>400</v>
      </c>
      <c r="D222" s="9">
        <v>1400</v>
      </c>
      <c r="E222" s="2" t="s">
        <v>855</v>
      </c>
      <c r="F222" s="10">
        <v>220.25</v>
      </c>
      <c r="G222" s="11">
        <f>(F_R_Comp)*220.25</f>
        <v>220.25</v>
      </c>
    </row>
    <row r="223" spans="1:7" x14ac:dyDescent="0.2">
      <c r="A223" s="8" t="s">
        <v>856</v>
      </c>
      <c r="B223" s="8">
        <v>22</v>
      </c>
      <c r="C223" s="8">
        <v>400</v>
      </c>
      <c r="D223" s="9">
        <v>1600</v>
      </c>
      <c r="E223" s="2" t="s">
        <v>857</v>
      </c>
      <c r="F223" s="10">
        <v>244.72</v>
      </c>
      <c r="G223" s="11">
        <f>(F_R_Comp)*244.72</f>
        <v>244.72</v>
      </c>
    </row>
    <row r="224" spans="1:7" x14ac:dyDescent="0.2">
      <c r="A224" s="8" t="s">
        <v>858</v>
      </c>
      <c r="B224" s="8">
        <v>22</v>
      </c>
      <c r="C224" s="8">
        <v>400</v>
      </c>
      <c r="D224" s="9">
        <v>1800</v>
      </c>
      <c r="E224" s="2" t="s">
        <v>859</v>
      </c>
      <c r="F224" s="10">
        <v>269.93</v>
      </c>
      <c r="G224" s="11">
        <f>(F_R_Comp)*269.93</f>
        <v>269.93</v>
      </c>
    </row>
    <row r="225" spans="1:7" x14ac:dyDescent="0.2">
      <c r="A225" s="8" t="s">
        <v>860</v>
      </c>
      <c r="B225" s="8">
        <v>22</v>
      </c>
      <c r="C225" s="8">
        <v>400</v>
      </c>
      <c r="D225" s="9">
        <v>2000</v>
      </c>
      <c r="E225" s="2" t="s">
        <v>861</v>
      </c>
      <c r="F225" s="10">
        <v>295.05</v>
      </c>
      <c r="G225" s="11">
        <f>(F_R_Comp)*295.05</f>
        <v>295.05</v>
      </c>
    </row>
    <row r="226" spans="1:7" x14ac:dyDescent="0.2">
      <c r="A226" s="8" t="s">
        <v>862</v>
      </c>
      <c r="B226" s="8">
        <v>22</v>
      </c>
      <c r="C226" s="8">
        <v>400</v>
      </c>
      <c r="D226" s="9">
        <v>2300</v>
      </c>
      <c r="E226" s="2" t="s">
        <v>863</v>
      </c>
      <c r="F226" s="10">
        <v>332.63</v>
      </c>
      <c r="G226" s="11">
        <f>(F_R_Comp)*332.63</f>
        <v>332.63</v>
      </c>
    </row>
    <row r="227" spans="1:7" x14ac:dyDescent="0.2">
      <c r="A227" s="8" t="s">
        <v>864</v>
      </c>
      <c r="B227" s="8">
        <v>22</v>
      </c>
      <c r="C227" s="8">
        <v>400</v>
      </c>
      <c r="D227" s="9">
        <v>2600</v>
      </c>
      <c r="E227" s="2" t="s">
        <v>865</v>
      </c>
      <c r="F227" s="10">
        <v>370.22</v>
      </c>
      <c r="G227" s="11">
        <f>(F_R_Comp)*370.22</f>
        <v>370.22</v>
      </c>
    </row>
    <row r="228" spans="1:7" x14ac:dyDescent="0.2">
      <c r="A228" s="8" t="s">
        <v>866</v>
      </c>
      <c r="B228" s="8">
        <v>22</v>
      </c>
      <c r="C228" s="8">
        <v>400</v>
      </c>
      <c r="D228" s="9">
        <v>3000</v>
      </c>
      <c r="E228" s="2" t="s">
        <v>867</v>
      </c>
      <c r="F228" s="10">
        <v>420.14</v>
      </c>
      <c r="G228" s="11">
        <f>(F_R_Comp)*420.14</f>
        <v>420.14</v>
      </c>
    </row>
    <row r="229" spans="1:7" x14ac:dyDescent="0.2">
      <c r="A229" s="8" t="s">
        <v>868</v>
      </c>
      <c r="B229" s="8">
        <v>22</v>
      </c>
      <c r="C229" s="8">
        <v>500</v>
      </c>
      <c r="D229" s="9">
        <v>400</v>
      </c>
      <c r="E229" s="2" t="s">
        <v>869</v>
      </c>
      <c r="F229" s="10">
        <v>111.71</v>
      </c>
      <c r="G229" s="11">
        <f>(F_R_Comp)*111.71</f>
        <v>111.71</v>
      </c>
    </row>
    <row r="230" spans="1:7" x14ac:dyDescent="0.2">
      <c r="A230" s="8" t="s">
        <v>870</v>
      </c>
      <c r="B230" s="8">
        <v>22</v>
      </c>
      <c r="C230" s="8">
        <v>500</v>
      </c>
      <c r="D230" s="9">
        <v>500</v>
      </c>
      <c r="E230" s="2" t="s">
        <v>871</v>
      </c>
      <c r="F230" s="10">
        <v>126.16</v>
      </c>
      <c r="G230" s="11">
        <f>(F_R_Comp)*126.16</f>
        <v>126.16</v>
      </c>
    </row>
    <row r="231" spans="1:7" x14ac:dyDescent="0.2">
      <c r="A231" s="8" t="s">
        <v>872</v>
      </c>
      <c r="B231" s="8">
        <v>22</v>
      </c>
      <c r="C231" s="8">
        <v>500</v>
      </c>
      <c r="D231" s="9">
        <v>600</v>
      </c>
      <c r="E231" s="2" t="s">
        <v>873</v>
      </c>
      <c r="F231" s="10">
        <v>141.53</v>
      </c>
      <c r="G231" s="11">
        <f>(F_R_Comp)*141.53</f>
        <v>141.53</v>
      </c>
    </row>
    <row r="232" spans="1:7" x14ac:dyDescent="0.2">
      <c r="A232" s="8" t="s">
        <v>874</v>
      </c>
      <c r="B232" s="8">
        <v>22</v>
      </c>
      <c r="C232" s="8">
        <v>500</v>
      </c>
      <c r="D232" s="9">
        <v>700</v>
      </c>
      <c r="E232" s="2" t="s">
        <v>875</v>
      </c>
      <c r="F232" s="10">
        <v>156.53</v>
      </c>
      <c r="G232" s="11">
        <f>(F_R_Comp)*156.53</f>
        <v>156.53</v>
      </c>
    </row>
    <row r="233" spans="1:7" x14ac:dyDescent="0.2">
      <c r="A233" s="8" t="s">
        <v>876</v>
      </c>
      <c r="B233" s="8">
        <v>22</v>
      </c>
      <c r="C233" s="8">
        <v>500</v>
      </c>
      <c r="D233" s="9">
        <v>800</v>
      </c>
      <c r="E233" s="2" t="s">
        <v>877</v>
      </c>
      <c r="F233" s="10">
        <v>171.52</v>
      </c>
      <c r="G233" s="11">
        <f>(F_R_Comp)*171.52</f>
        <v>171.52</v>
      </c>
    </row>
    <row r="234" spans="1:7" x14ac:dyDescent="0.2">
      <c r="A234" s="8" t="s">
        <v>878</v>
      </c>
      <c r="B234" s="8">
        <v>22</v>
      </c>
      <c r="C234" s="8">
        <v>500</v>
      </c>
      <c r="D234" s="9">
        <v>900</v>
      </c>
      <c r="E234" s="2" t="s">
        <v>879</v>
      </c>
      <c r="F234" s="10">
        <v>187.3</v>
      </c>
      <c r="G234" s="11">
        <f>(F_R_Comp)*187.3</f>
        <v>187.3</v>
      </c>
    </row>
    <row r="235" spans="1:7" x14ac:dyDescent="0.2">
      <c r="A235" s="8" t="s">
        <v>880</v>
      </c>
      <c r="B235" s="8">
        <v>22</v>
      </c>
      <c r="C235" s="8">
        <v>500</v>
      </c>
      <c r="D235" s="9">
        <v>1000</v>
      </c>
      <c r="E235" s="2" t="s">
        <v>881</v>
      </c>
      <c r="F235" s="10">
        <v>201.98</v>
      </c>
      <c r="G235" s="11">
        <f>(F_R_Comp)*201.98</f>
        <v>201.98</v>
      </c>
    </row>
    <row r="236" spans="1:7" x14ac:dyDescent="0.2">
      <c r="A236" s="8" t="s">
        <v>882</v>
      </c>
      <c r="B236" s="8">
        <v>22</v>
      </c>
      <c r="C236" s="8">
        <v>500</v>
      </c>
      <c r="D236" s="9">
        <v>1100</v>
      </c>
      <c r="E236" s="2" t="s">
        <v>883</v>
      </c>
      <c r="F236" s="10">
        <v>217.26</v>
      </c>
      <c r="G236" s="11">
        <f>(F_R_Comp)*217.26</f>
        <v>217.26</v>
      </c>
    </row>
    <row r="237" spans="1:7" x14ac:dyDescent="0.2">
      <c r="A237" s="8" t="s">
        <v>884</v>
      </c>
      <c r="B237" s="8">
        <v>22</v>
      </c>
      <c r="C237" s="8">
        <v>500</v>
      </c>
      <c r="D237" s="9">
        <v>1200</v>
      </c>
      <c r="E237" s="2" t="s">
        <v>885</v>
      </c>
      <c r="F237" s="10">
        <v>232.63</v>
      </c>
      <c r="G237" s="11">
        <f>(F_R_Comp)*232.63</f>
        <v>232.63</v>
      </c>
    </row>
    <row r="238" spans="1:7" x14ac:dyDescent="0.2">
      <c r="A238" s="8" t="s">
        <v>886</v>
      </c>
      <c r="B238" s="8">
        <v>22</v>
      </c>
      <c r="C238" s="8">
        <v>500</v>
      </c>
      <c r="D238" s="9">
        <v>1400</v>
      </c>
      <c r="E238" s="2" t="s">
        <v>887</v>
      </c>
      <c r="F238" s="10">
        <v>262.99</v>
      </c>
      <c r="G238" s="11">
        <f>(F_R_Comp)*262.99</f>
        <v>262.99</v>
      </c>
    </row>
    <row r="239" spans="1:7" x14ac:dyDescent="0.2">
      <c r="A239" s="8" t="s">
        <v>888</v>
      </c>
      <c r="B239" s="8">
        <v>22</v>
      </c>
      <c r="C239" s="8">
        <v>500</v>
      </c>
      <c r="D239" s="9">
        <v>1600</v>
      </c>
      <c r="E239" s="2" t="s">
        <v>889</v>
      </c>
      <c r="F239" s="10">
        <v>293.49</v>
      </c>
      <c r="G239" s="11">
        <f>(F_R_Comp)*293.49</f>
        <v>293.49</v>
      </c>
    </row>
    <row r="240" spans="1:7" x14ac:dyDescent="0.2">
      <c r="A240" s="8" t="s">
        <v>890</v>
      </c>
      <c r="B240" s="8">
        <v>22</v>
      </c>
      <c r="C240" s="8">
        <v>500</v>
      </c>
      <c r="D240" s="9">
        <v>1800</v>
      </c>
      <c r="E240" s="2" t="s">
        <v>891</v>
      </c>
      <c r="F240" s="10">
        <v>323.83</v>
      </c>
      <c r="G240" s="11">
        <f>(F_R_Comp)*323.83</f>
        <v>323.83</v>
      </c>
    </row>
    <row r="241" spans="1:7" x14ac:dyDescent="0.2">
      <c r="A241" s="8" t="s">
        <v>892</v>
      </c>
      <c r="B241" s="8">
        <v>22</v>
      </c>
      <c r="C241" s="8">
        <v>500</v>
      </c>
      <c r="D241" s="9">
        <v>2000</v>
      </c>
      <c r="E241" s="2" t="s">
        <v>893</v>
      </c>
      <c r="F241" s="10">
        <v>354.56</v>
      </c>
      <c r="G241" s="11">
        <f>(F_R_Comp)*354.56</f>
        <v>354.56</v>
      </c>
    </row>
    <row r="242" spans="1:7" x14ac:dyDescent="0.2">
      <c r="A242" s="8" t="s">
        <v>894</v>
      </c>
      <c r="B242" s="8">
        <v>22</v>
      </c>
      <c r="C242" s="8">
        <v>500</v>
      </c>
      <c r="D242" s="9">
        <v>2300</v>
      </c>
      <c r="E242" s="2" t="s">
        <v>895</v>
      </c>
      <c r="F242" s="10">
        <v>400.32</v>
      </c>
      <c r="G242" s="11">
        <f>(F_R_Comp)*400.32</f>
        <v>400.32</v>
      </c>
    </row>
    <row r="243" spans="1:7" x14ac:dyDescent="0.2">
      <c r="A243" s="8" t="s">
        <v>896</v>
      </c>
      <c r="B243" s="8">
        <v>22</v>
      </c>
      <c r="C243" s="8">
        <v>500</v>
      </c>
      <c r="D243" s="9">
        <v>2600</v>
      </c>
      <c r="E243" s="2" t="s">
        <v>897</v>
      </c>
      <c r="F243" s="10">
        <v>446.04</v>
      </c>
      <c r="G243" s="11">
        <f>(F_R_Comp)*446.04</f>
        <v>446.04</v>
      </c>
    </row>
    <row r="244" spans="1:7" x14ac:dyDescent="0.2">
      <c r="A244" s="8" t="s">
        <v>898</v>
      </c>
      <c r="B244" s="8">
        <v>22</v>
      </c>
      <c r="C244" s="8">
        <v>500</v>
      </c>
      <c r="D244" s="9">
        <v>3000</v>
      </c>
      <c r="E244" s="2" t="s">
        <v>899</v>
      </c>
      <c r="F244" s="10">
        <v>507.41</v>
      </c>
      <c r="G244" s="11">
        <f>(F_R_Comp)*507.41</f>
        <v>507.41</v>
      </c>
    </row>
    <row r="245" spans="1:7" x14ac:dyDescent="0.2">
      <c r="A245" s="8">
        <v>1222550040</v>
      </c>
      <c r="B245" s="8">
        <v>22</v>
      </c>
      <c r="C245" s="8">
        <v>550</v>
      </c>
      <c r="D245" s="9">
        <v>400</v>
      </c>
      <c r="E245" s="2" t="s">
        <v>5278</v>
      </c>
      <c r="F245" s="10">
        <v>115.83810000000001</v>
      </c>
      <c r="G245" s="11">
        <f>(F_R_Comp)*115.8381</f>
        <v>115.8381</v>
      </c>
    </row>
    <row r="246" spans="1:7" x14ac:dyDescent="0.2">
      <c r="A246" s="8">
        <v>1222550050</v>
      </c>
      <c r="B246" s="8">
        <v>22</v>
      </c>
      <c r="C246" s="8">
        <v>550</v>
      </c>
      <c r="D246" s="9">
        <v>500</v>
      </c>
      <c r="E246" s="2" t="s">
        <v>5279</v>
      </c>
      <c r="F246" s="10">
        <v>131.62905000000001</v>
      </c>
      <c r="G246" s="11">
        <f>(F_R_Comp)*131.62905</f>
        <v>131.62905000000001</v>
      </c>
    </row>
    <row r="247" spans="1:7" x14ac:dyDescent="0.2">
      <c r="A247" s="8">
        <v>1222550060</v>
      </c>
      <c r="B247" s="8">
        <v>22</v>
      </c>
      <c r="C247" s="8">
        <v>550</v>
      </c>
      <c r="D247" s="9">
        <v>600</v>
      </c>
      <c r="E247" s="2" t="s">
        <v>5280</v>
      </c>
      <c r="F247" s="10">
        <v>147.20737499999998</v>
      </c>
      <c r="G247" s="11">
        <f>(F_R_Comp)*147.207375</f>
        <v>147.20737500000001</v>
      </c>
    </row>
    <row r="248" spans="1:7" x14ac:dyDescent="0.2">
      <c r="A248" s="8">
        <v>1222550070</v>
      </c>
      <c r="B248" s="8">
        <v>22</v>
      </c>
      <c r="C248" s="8">
        <v>550</v>
      </c>
      <c r="D248" s="9">
        <v>700</v>
      </c>
      <c r="E248" s="2" t="s">
        <v>5281</v>
      </c>
      <c r="F248" s="10">
        <v>163.04085000000001</v>
      </c>
      <c r="G248" s="11">
        <f>(F_R_Comp)*163.04085</f>
        <v>163.04085000000001</v>
      </c>
    </row>
    <row r="249" spans="1:7" x14ac:dyDescent="0.2">
      <c r="A249" s="8">
        <v>1222550080</v>
      </c>
      <c r="B249" s="8">
        <v>22</v>
      </c>
      <c r="C249" s="8">
        <v>550</v>
      </c>
      <c r="D249" s="9">
        <v>800</v>
      </c>
      <c r="E249" s="2" t="s">
        <v>5282</v>
      </c>
      <c r="F249" s="10">
        <v>179.37045000000001</v>
      </c>
      <c r="G249" s="11">
        <f>(F_R_Comp)*179.37045</f>
        <v>179.37045000000001</v>
      </c>
    </row>
    <row r="250" spans="1:7" x14ac:dyDescent="0.2">
      <c r="A250" s="8">
        <v>1222550090</v>
      </c>
      <c r="B250" s="8">
        <v>22</v>
      </c>
      <c r="C250" s="8">
        <v>550</v>
      </c>
      <c r="D250" s="9">
        <v>900</v>
      </c>
      <c r="E250" s="2" t="s">
        <v>5283</v>
      </c>
      <c r="F250" s="10">
        <v>195.54412500000001</v>
      </c>
      <c r="G250" s="11">
        <f>(F_R_Comp)*195.544125</f>
        <v>195.54412500000001</v>
      </c>
    </row>
    <row r="251" spans="1:7" x14ac:dyDescent="0.2">
      <c r="A251" s="8">
        <v>1222550100</v>
      </c>
      <c r="B251" s="8">
        <v>22</v>
      </c>
      <c r="C251" s="8">
        <v>550</v>
      </c>
      <c r="D251" s="9">
        <v>1000</v>
      </c>
      <c r="E251" s="2" t="s">
        <v>5284</v>
      </c>
      <c r="F251" s="10">
        <v>211.70362500000002</v>
      </c>
      <c r="G251" s="11">
        <f>(F_R_Comp)*211.703625</f>
        <v>211.70362499999999</v>
      </c>
    </row>
    <row r="252" spans="1:7" x14ac:dyDescent="0.2">
      <c r="A252" s="8">
        <v>1222550110</v>
      </c>
      <c r="B252" s="8">
        <v>22</v>
      </c>
      <c r="C252" s="8">
        <v>550</v>
      </c>
      <c r="D252" s="9">
        <v>1100</v>
      </c>
      <c r="E252" s="2" t="s">
        <v>5285</v>
      </c>
      <c r="F252" s="10">
        <v>227.494575</v>
      </c>
      <c r="G252" s="11">
        <f>(F_R_Comp)*227.494575</f>
        <v>227.494575</v>
      </c>
    </row>
    <row r="253" spans="1:7" x14ac:dyDescent="0.2">
      <c r="A253" s="8">
        <v>1222550120</v>
      </c>
      <c r="B253" s="8">
        <v>22</v>
      </c>
      <c r="C253" s="8">
        <v>550</v>
      </c>
      <c r="D253" s="9">
        <v>1200</v>
      </c>
      <c r="E253" s="2" t="s">
        <v>5286</v>
      </c>
      <c r="F253" s="10">
        <v>243.90922500000002</v>
      </c>
      <c r="G253" s="11">
        <f>(F_R_Comp)*243.909225</f>
        <v>243.90922499999999</v>
      </c>
    </row>
    <row r="254" spans="1:7" x14ac:dyDescent="0.2">
      <c r="A254" s="8">
        <v>1222550140</v>
      </c>
      <c r="B254" s="8">
        <v>22</v>
      </c>
      <c r="C254" s="8">
        <v>550</v>
      </c>
      <c r="D254" s="9">
        <v>1400</v>
      </c>
      <c r="E254" s="2" t="s">
        <v>5287</v>
      </c>
      <c r="F254" s="10">
        <v>276.42667500000005</v>
      </c>
      <c r="G254" s="11">
        <f>(F_R_Comp)*276.426675</f>
        <v>276.42667499999999</v>
      </c>
    </row>
    <row r="255" spans="1:7" x14ac:dyDescent="0.2">
      <c r="A255" s="8">
        <v>1222550160</v>
      </c>
      <c r="B255" s="8">
        <v>22</v>
      </c>
      <c r="C255" s="8">
        <v>550</v>
      </c>
      <c r="D255" s="9">
        <v>1600</v>
      </c>
      <c r="E255" s="2" t="s">
        <v>5288</v>
      </c>
      <c r="F255" s="10">
        <v>308.49052499999999</v>
      </c>
      <c r="G255" s="11">
        <f>(F_R_Comp)*308.490525</f>
        <v>308.49052499999999</v>
      </c>
    </row>
    <row r="256" spans="1:7" x14ac:dyDescent="0.2">
      <c r="A256" s="8">
        <v>1222550180</v>
      </c>
      <c r="B256" s="8">
        <v>22</v>
      </c>
      <c r="C256" s="8">
        <v>550</v>
      </c>
      <c r="D256" s="9">
        <v>1800</v>
      </c>
      <c r="E256" s="2" t="s">
        <v>5289</v>
      </c>
      <c r="F256" s="10">
        <v>340.79535000000004</v>
      </c>
      <c r="G256" s="11">
        <f>(F_R_Comp)*340.79535</f>
        <v>340.79534999999998</v>
      </c>
    </row>
    <row r="257" spans="1:7" x14ac:dyDescent="0.2">
      <c r="A257" s="8">
        <v>1222550200</v>
      </c>
      <c r="B257" s="8">
        <v>22</v>
      </c>
      <c r="C257" s="8">
        <v>550</v>
      </c>
      <c r="D257" s="9">
        <v>2000</v>
      </c>
      <c r="E257" s="2" t="s">
        <v>5290</v>
      </c>
      <c r="F257" s="10">
        <v>373.25610000000006</v>
      </c>
      <c r="G257" s="11">
        <f>(F_R_Comp)*373.2561</f>
        <v>373.2561</v>
      </c>
    </row>
    <row r="258" spans="1:7" x14ac:dyDescent="0.2">
      <c r="A258" s="8">
        <v>1222550230</v>
      </c>
      <c r="B258" s="8">
        <v>22</v>
      </c>
      <c r="C258" s="8">
        <v>550</v>
      </c>
      <c r="D258" s="9">
        <v>2300</v>
      </c>
      <c r="E258" s="2" t="s">
        <v>5291</v>
      </c>
      <c r="F258" s="10">
        <v>422.14567500000004</v>
      </c>
      <c r="G258" s="11">
        <f>(F_R_Comp)*422.145675</f>
        <v>422.14567499999998</v>
      </c>
    </row>
    <row r="259" spans="1:7" x14ac:dyDescent="0.2">
      <c r="A259" s="8">
        <v>1222550260</v>
      </c>
      <c r="B259" s="8">
        <v>22</v>
      </c>
      <c r="C259" s="8">
        <v>550</v>
      </c>
      <c r="D259" s="9">
        <v>2600</v>
      </c>
      <c r="E259" s="2" t="s">
        <v>5292</v>
      </c>
      <c r="F259" s="10">
        <v>470.48242500000003</v>
      </c>
      <c r="G259" s="11">
        <f>(F_R_Comp)*470.482425</f>
        <v>470.48242499999998</v>
      </c>
    </row>
    <row r="260" spans="1:7" x14ac:dyDescent="0.2">
      <c r="A260" s="8">
        <v>1222550300</v>
      </c>
      <c r="B260" s="8">
        <v>22</v>
      </c>
      <c r="C260" s="8">
        <v>550</v>
      </c>
      <c r="D260" s="9">
        <v>3000</v>
      </c>
      <c r="E260" s="2" t="s">
        <v>5293</v>
      </c>
      <c r="F260" s="10">
        <v>535.23382500000002</v>
      </c>
      <c r="G260" s="11">
        <f>(F_R_Comp)*535.233825</f>
        <v>535.23382500000002</v>
      </c>
    </row>
    <row r="261" spans="1:7" x14ac:dyDescent="0.2">
      <c r="A261" s="8" t="s">
        <v>900</v>
      </c>
      <c r="B261" s="8">
        <v>22</v>
      </c>
      <c r="C261" s="8">
        <v>600</v>
      </c>
      <c r="D261" s="9">
        <v>400</v>
      </c>
      <c r="E261" s="2" t="s">
        <v>901</v>
      </c>
      <c r="F261" s="10">
        <v>119.32</v>
      </c>
      <c r="G261" s="11">
        <f>(F_R_Comp)*119.32</f>
        <v>119.32</v>
      </c>
    </row>
    <row r="262" spans="1:7" x14ac:dyDescent="0.2">
      <c r="A262" s="8" t="s">
        <v>902</v>
      </c>
      <c r="B262" s="8">
        <v>22</v>
      </c>
      <c r="C262" s="8">
        <v>600</v>
      </c>
      <c r="D262" s="9">
        <v>500</v>
      </c>
      <c r="E262" s="2" t="s">
        <v>903</v>
      </c>
      <c r="F262" s="10">
        <v>135.21</v>
      </c>
      <c r="G262" s="11">
        <f>(F_R_Comp)*135.21</f>
        <v>135.21</v>
      </c>
    </row>
    <row r="263" spans="1:7" x14ac:dyDescent="0.2">
      <c r="A263" s="8" t="s">
        <v>904</v>
      </c>
      <c r="B263" s="8">
        <v>22</v>
      </c>
      <c r="C263" s="8">
        <v>600</v>
      </c>
      <c r="D263" s="9">
        <v>600</v>
      </c>
      <c r="E263" s="2" t="s">
        <v>905</v>
      </c>
      <c r="F263" s="10">
        <v>151.01</v>
      </c>
      <c r="G263" s="11">
        <f>(F_R_Comp)*151.01</f>
        <v>151.01</v>
      </c>
    </row>
    <row r="264" spans="1:7" x14ac:dyDescent="0.2">
      <c r="A264" s="8" t="s">
        <v>906</v>
      </c>
      <c r="B264" s="8">
        <v>22</v>
      </c>
      <c r="C264" s="8">
        <v>600</v>
      </c>
      <c r="D264" s="9">
        <v>700</v>
      </c>
      <c r="E264" s="2" t="s">
        <v>907</v>
      </c>
      <c r="F264" s="10">
        <v>167.94</v>
      </c>
      <c r="G264" s="11">
        <f>(F_R_Comp)*167.94</f>
        <v>167.94</v>
      </c>
    </row>
    <row r="265" spans="1:7" x14ac:dyDescent="0.2">
      <c r="A265" s="8" t="s">
        <v>908</v>
      </c>
      <c r="B265" s="8">
        <v>22</v>
      </c>
      <c r="C265" s="8">
        <v>600</v>
      </c>
      <c r="D265" s="9">
        <v>800</v>
      </c>
      <c r="E265" s="2" t="s">
        <v>909</v>
      </c>
      <c r="F265" s="10">
        <v>185.28</v>
      </c>
      <c r="G265" s="11">
        <f>(F_R_Comp)*185.28</f>
        <v>185.28</v>
      </c>
    </row>
    <row r="266" spans="1:7" x14ac:dyDescent="0.2">
      <c r="A266" s="8" t="s">
        <v>910</v>
      </c>
      <c r="B266" s="8">
        <v>22</v>
      </c>
      <c r="C266" s="8">
        <v>600</v>
      </c>
      <c r="D266" s="9">
        <v>900</v>
      </c>
      <c r="E266" s="2" t="s">
        <v>911</v>
      </c>
      <c r="F266" s="10">
        <v>201.98</v>
      </c>
      <c r="G266" s="11">
        <f>(F_R_Comp)*201.98</f>
        <v>201.98</v>
      </c>
    </row>
    <row r="267" spans="1:7" x14ac:dyDescent="0.2">
      <c r="A267" s="8" t="s">
        <v>912</v>
      </c>
      <c r="B267" s="8">
        <v>22</v>
      </c>
      <c r="C267" s="8">
        <v>600</v>
      </c>
      <c r="D267" s="9">
        <v>1000</v>
      </c>
      <c r="E267" s="2" t="s">
        <v>913</v>
      </c>
      <c r="F267" s="10">
        <v>219.22</v>
      </c>
      <c r="G267" s="11">
        <f>(F_R_Comp)*219.22</f>
        <v>219.22</v>
      </c>
    </row>
    <row r="268" spans="1:7" x14ac:dyDescent="0.2">
      <c r="A268" s="8" t="s">
        <v>914</v>
      </c>
      <c r="B268" s="8">
        <v>22</v>
      </c>
      <c r="C268" s="8">
        <v>600</v>
      </c>
      <c r="D268" s="9">
        <v>1100</v>
      </c>
      <c r="E268" s="2" t="s">
        <v>915</v>
      </c>
      <c r="F268" s="10">
        <v>234.97</v>
      </c>
      <c r="G268" s="11">
        <f>(F_R_Comp)*234.97</f>
        <v>234.97</v>
      </c>
    </row>
    <row r="269" spans="1:7" x14ac:dyDescent="0.2">
      <c r="A269" s="8" t="s">
        <v>916</v>
      </c>
      <c r="B269" s="8">
        <v>22</v>
      </c>
      <c r="C269" s="8">
        <v>600</v>
      </c>
      <c r="D269" s="9">
        <v>1200</v>
      </c>
      <c r="E269" s="2" t="s">
        <v>917</v>
      </c>
      <c r="F269" s="10">
        <v>252.59</v>
      </c>
      <c r="G269" s="11">
        <f>(F_R_Comp)*252.59</f>
        <v>252.59</v>
      </c>
    </row>
    <row r="270" spans="1:7" x14ac:dyDescent="0.2">
      <c r="A270" s="8" t="s">
        <v>918</v>
      </c>
      <c r="B270" s="8">
        <v>22</v>
      </c>
      <c r="C270" s="8">
        <v>600</v>
      </c>
      <c r="D270" s="9">
        <v>1400</v>
      </c>
      <c r="E270" s="2" t="s">
        <v>919</v>
      </c>
      <c r="F270" s="10">
        <v>286.22000000000003</v>
      </c>
      <c r="G270" s="11">
        <f>(F_R_Comp)*286.22</f>
        <v>286.22000000000003</v>
      </c>
    </row>
    <row r="271" spans="1:7" x14ac:dyDescent="0.2">
      <c r="A271" s="8" t="s">
        <v>920</v>
      </c>
      <c r="B271" s="8">
        <v>22</v>
      </c>
      <c r="C271" s="8">
        <v>600</v>
      </c>
      <c r="D271" s="9">
        <v>1600</v>
      </c>
      <c r="E271" s="2" t="s">
        <v>921</v>
      </c>
      <c r="F271" s="10">
        <v>319.89</v>
      </c>
      <c r="G271" s="11">
        <f>(F_R_Comp)*319.89</f>
        <v>319.89</v>
      </c>
    </row>
    <row r="272" spans="1:7" x14ac:dyDescent="0.2">
      <c r="A272" s="8" t="s">
        <v>922</v>
      </c>
      <c r="B272" s="8">
        <v>22</v>
      </c>
      <c r="C272" s="8">
        <v>600</v>
      </c>
      <c r="D272" s="9">
        <v>1800</v>
      </c>
      <c r="E272" s="2" t="s">
        <v>923</v>
      </c>
      <c r="F272" s="10">
        <v>354.21</v>
      </c>
      <c r="G272" s="11">
        <f>(F_R_Comp)*354.21</f>
        <v>354.21</v>
      </c>
    </row>
    <row r="273" spans="1:7" x14ac:dyDescent="0.2">
      <c r="A273" s="8" t="s">
        <v>924</v>
      </c>
      <c r="B273" s="8">
        <v>22</v>
      </c>
      <c r="C273" s="8">
        <v>600</v>
      </c>
      <c r="D273" s="9">
        <v>2000</v>
      </c>
      <c r="E273" s="2" t="s">
        <v>925</v>
      </c>
      <c r="F273" s="10">
        <v>387.59</v>
      </c>
      <c r="G273" s="11">
        <f>(F_R_Comp)*387.59</f>
        <v>387.59</v>
      </c>
    </row>
    <row r="274" spans="1:7" x14ac:dyDescent="0.2">
      <c r="A274" s="8" t="s">
        <v>926</v>
      </c>
      <c r="B274" s="8">
        <v>22</v>
      </c>
      <c r="C274" s="8">
        <v>600</v>
      </c>
      <c r="D274" s="9">
        <v>2300</v>
      </c>
      <c r="E274" s="2" t="s">
        <v>927</v>
      </c>
      <c r="F274" s="10">
        <v>438.83</v>
      </c>
      <c r="G274" s="11">
        <f>(F_R_Comp)*438.83</f>
        <v>438.83</v>
      </c>
    </row>
    <row r="275" spans="1:7" x14ac:dyDescent="0.2">
      <c r="A275" s="8" t="s">
        <v>928</v>
      </c>
      <c r="B275" s="8">
        <v>22</v>
      </c>
      <c r="C275" s="8">
        <v>600</v>
      </c>
      <c r="D275" s="9">
        <v>2600</v>
      </c>
      <c r="E275" s="2" t="s">
        <v>929</v>
      </c>
      <c r="F275" s="10">
        <v>489.43</v>
      </c>
      <c r="G275" s="11">
        <f>(F_R_Comp)*489.43</f>
        <v>489.43</v>
      </c>
    </row>
    <row r="276" spans="1:7" x14ac:dyDescent="0.2">
      <c r="A276" s="8" t="s">
        <v>930</v>
      </c>
      <c r="B276" s="8">
        <v>22</v>
      </c>
      <c r="C276" s="8">
        <v>600</v>
      </c>
      <c r="D276" s="9">
        <v>3000</v>
      </c>
      <c r="E276" s="2" t="s">
        <v>931</v>
      </c>
      <c r="F276" s="10">
        <v>556.82000000000005</v>
      </c>
      <c r="G276" s="11">
        <f>(F_R_Comp)*556.82</f>
        <v>556.82000000000005</v>
      </c>
    </row>
    <row r="277" spans="1:7" x14ac:dyDescent="0.2">
      <c r="A277" s="8" t="s">
        <v>932</v>
      </c>
      <c r="B277" s="8">
        <v>22</v>
      </c>
      <c r="C277" s="8">
        <v>900</v>
      </c>
      <c r="D277" s="9">
        <v>400</v>
      </c>
      <c r="E277" s="2" t="s">
        <v>933</v>
      </c>
      <c r="F277" s="10">
        <v>168.88</v>
      </c>
      <c r="G277" s="11">
        <f>(F_R_Comp)*168.88</f>
        <v>168.88</v>
      </c>
    </row>
    <row r="278" spans="1:7" x14ac:dyDescent="0.2">
      <c r="A278" s="8" t="s">
        <v>934</v>
      </c>
      <c r="B278" s="8">
        <v>22</v>
      </c>
      <c r="C278" s="8">
        <v>900</v>
      </c>
      <c r="D278" s="9">
        <v>500</v>
      </c>
      <c r="E278" s="2" t="s">
        <v>935</v>
      </c>
      <c r="F278" s="10">
        <v>190.56</v>
      </c>
      <c r="G278" s="11">
        <f>(F_R_Comp)*190.56</f>
        <v>190.56</v>
      </c>
    </row>
    <row r="279" spans="1:7" x14ac:dyDescent="0.2">
      <c r="A279" s="8" t="s">
        <v>936</v>
      </c>
      <c r="B279" s="8">
        <v>22</v>
      </c>
      <c r="C279" s="8">
        <v>900</v>
      </c>
      <c r="D279" s="9">
        <v>600</v>
      </c>
      <c r="E279" s="2" t="s">
        <v>937</v>
      </c>
      <c r="F279" s="10">
        <v>212.77</v>
      </c>
      <c r="G279" s="11">
        <f>(F_R_Comp)*212.77</f>
        <v>212.77</v>
      </c>
    </row>
    <row r="280" spans="1:7" x14ac:dyDescent="0.2">
      <c r="A280" s="8" t="s">
        <v>938</v>
      </c>
      <c r="B280" s="8">
        <v>22</v>
      </c>
      <c r="C280" s="8">
        <v>900</v>
      </c>
      <c r="D280" s="9">
        <v>700</v>
      </c>
      <c r="E280" s="2" t="s">
        <v>939</v>
      </c>
      <c r="F280" s="10">
        <v>241.43</v>
      </c>
      <c r="G280" s="11">
        <f>(F_R_Comp)*241.43</f>
        <v>241.43</v>
      </c>
    </row>
    <row r="281" spans="1:7" x14ac:dyDescent="0.2">
      <c r="A281" s="8" t="s">
        <v>940</v>
      </c>
      <c r="B281" s="8">
        <v>22</v>
      </c>
      <c r="C281" s="8">
        <v>900</v>
      </c>
      <c r="D281" s="9">
        <v>800</v>
      </c>
      <c r="E281" s="2" t="s">
        <v>941</v>
      </c>
      <c r="F281" s="10">
        <v>269.29000000000002</v>
      </c>
      <c r="G281" s="11">
        <f>(F_R_Comp)*269.29</f>
        <v>269.29000000000002</v>
      </c>
    </row>
    <row r="282" spans="1:7" x14ac:dyDescent="0.2">
      <c r="A282" s="8" t="s">
        <v>942</v>
      </c>
      <c r="B282" s="8">
        <v>22</v>
      </c>
      <c r="C282" s="8">
        <v>900</v>
      </c>
      <c r="D282" s="9">
        <v>900</v>
      </c>
      <c r="E282" s="2" t="s">
        <v>943</v>
      </c>
      <c r="F282" s="10">
        <v>297.68</v>
      </c>
      <c r="G282" s="11">
        <f>(F_R_Comp)*297.68</f>
        <v>297.68</v>
      </c>
    </row>
    <row r="283" spans="1:7" x14ac:dyDescent="0.2">
      <c r="A283" s="8" t="s">
        <v>944</v>
      </c>
      <c r="B283" s="8">
        <v>22</v>
      </c>
      <c r="C283" s="8">
        <v>900</v>
      </c>
      <c r="D283" s="9">
        <v>1000</v>
      </c>
      <c r="E283" s="2" t="s">
        <v>945</v>
      </c>
      <c r="F283" s="10">
        <v>326.48</v>
      </c>
      <c r="G283" s="11">
        <f>(F_R_Comp)*326.48</f>
        <v>326.48</v>
      </c>
    </row>
    <row r="284" spans="1:7" x14ac:dyDescent="0.2">
      <c r="A284" s="8" t="s">
        <v>946</v>
      </c>
      <c r="B284" s="8">
        <v>22</v>
      </c>
      <c r="C284" s="8">
        <v>900</v>
      </c>
      <c r="D284" s="9">
        <v>1100</v>
      </c>
      <c r="E284" s="2" t="s">
        <v>947</v>
      </c>
      <c r="F284" s="10">
        <v>354.21</v>
      </c>
      <c r="G284" s="11">
        <f>(F_R_Comp)*354.21</f>
        <v>354.21</v>
      </c>
    </row>
    <row r="285" spans="1:7" x14ac:dyDescent="0.2">
      <c r="A285" s="8" t="s">
        <v>948</v>
      </c>
      <c r="B285" s="8">
        <v>22</v>
      </c>
      <c r="C285" s="8">
        <v>900</v>
      </c>
      <c r="D285" s="9">
        <v>1200</v>
      </c>
      <c r="E285" s="2" t="s">
        <v>949</v>
      </c>
      <c r="F285" s="10">
        <v>382.57</v>
      </c>
      <c r="G285" s="11">
        <f>(F_R_Comp)*382.57</f>
        <v>382.57</v>
      </c>
    </row>
    <row r="286" spans="1:7" x14ac:dyDescent="0.2">
      <c r="A286" s="8" t="s">
        <v>950</v>
      </c>
      <c r="B286" s="8">
        <v>22</v>
      </c>
      <c r="C286" s="8">
        <v>900</v>
      </c>
      <c r="D286" s="9">
        <v>1400</v>
      </c>
      <c r="E286" s="2" t="s">
        <v>951</v>
      </c>
      <c r="F286" s="10">
        <v>439.22</v>
      </c>
      <c r="G286" s="11">
        <f>(F_R_Comp)*439.22</f>
        <v>439.22</v>
      </c>
    </row>
    <row r="287" spans="1:7" x14ac:dyDescent="0.2">
      <c r="A287" s="8" t="s">
        <v>952</v>
      </c>
      <c r="B287" s="8">
        <v>22</v>
      </c>
      <c r="C287" s="8">
        <v>900</v>
      </c>
      <c r="D287" s="9">
        <v>1600</v>
      </c>
      <c r="E287" s="2" t="s">
        <v>953</v>
      </c>
      <c r="F287" s="10">
        <v>495.74</v>
      </c>
      <c r="G287" s="11">
        <f>(F_R_Comp)*495.74</f>
        <v>495.74</v>
      </c>
    </row>
    <row r="288" spans="1:7" x14ac:dyDescent="0.2">
      <c r="A288" s="8" t="s">
        <v>954</v>
      </c>
      <c r="B288" s="8">
        <v>22</v>
      </c>
      <c r="C288" s="8">
        <v>900</v>
      </c>
      <c r="D288" s="9">
        <v>1800</v>
      </c>
      <c r="E288" s="2" t="s">
        <v>955</v>
      </c>
      <c r="F288" s="10">
        <v>552.52</v>
      </c>
      <c r="G288" s="11">
        <f>(F_R_Comp)*552.52</f>
        <v>552.52</v>
      </c>
    </row>
    <row r="289" spans="1:7" x14ac:dyDescent="0.2">
      <c r="A289" s="8" t="s">
        <v>956</v>
      </c>
      <c r="B289" s="8">
        <v>22</v>
      </c>
      <c r="C289" s="8">
        <v>900</v>
      </c>
      <c r="D289" s="9">
        <v>2000</v>
      </c>
      <c r="E289" s="2" t="s">
        <v>957</v>
      </c>
      <c r="F289" s="10">
        <v>609.66</v>
      </c>
      <c r="G289" s="11">
        <f>(F_R_Comp)*609.66</f>
        <v>609.66</v>
      </c>
    </row>
    <row r="290" spans="1:7" x14ac:dyDescent="0.2">
      <c r="A290" s="8" t="s">
        <v>958</v>
      </c>
      <c r="B290" s="8">
        <v>33</v>
      </c>
      <c r="C290" s="8">
        <v>300</v>
      </c>
      <c r="D290" s="9">
        <v>400</v>
      </c>
      <c r="E290" s="2" t="s">
        <v>959</v>
      </c>
      <c r="F290" s="10">
        <v>177.41</v>
      </c>
      <c r="G290" s="11">
        <f>(F_R_Comp)*177.41</f>
        <v>177.41</v>
      </c>
    </row>
    <row r="291" spans="1:7" x14ac:dyDescent="0.2">
      <c r="A291" s="8" t="s">
        <v>960</v>
      </c>
      <c r="B291" s="8">
        <v>33</v>
      </c>
      <c r="C291" s="8">
        <v>300</v>
      </c>
      <c r="D291" s="9">
        <v>500</v>
      </c>
      <c r="E291" s="2" t="s">
        <v>961</v>
      </c>
      <c r="F291" s="10">
        <v>189.26</v>
      </c>
      <c r="G291" s="11">
        <f>(F_R_Comp)*189.26</f>
        <v>189.26</v>
      </c>
    </row>
    <row r="292" spans="1:7" x14ac:dyDescent="0.2">
      <c r="A292" s="8" t="s">
        <v>962</v>
      </c>
      <c r="B292" s="8">
        <v>33</v>
      </c>
      <c r="C292" s="8">
        <v>300</v>
      </c>
      <c r="D292" s="9">
        <v>600</v>
      </c>
      <c r="E292" s="2" t="s">
        <v>963</v>
      </c>
      <c r="F292" s="10">
        <v>201.98</v>
      </c>
      <c r="G292" s="11">
        <f>(F_R_Comp)*201.98</f>
        <v>201.98</v>
      </c>
    </row>
    <row r="293" spans="1:7" x14ac:dyDescent="0.2">
      <c r="A293" s="8" t="s">
        <v>964</v>
      </c>
      <c r="B293" s="8">
        <v>33</v>
      </c>
      <c r="C293" s="8">
        <v>300</v>
      </c>
      <c r="D293" s="9">
        <v>700</v>
      </c>
      <c r="E293" s="2" t="s">
        <v>965</v>
      </c>
      <c r="F293" s="10">
        <v>215.28</v>
      </c>
      <c r="G293" s="11">
        <f>(F_R_Comp)*215.28</f>
        <v>215.28</v>
      </c>
    </row>
    <row r="294" spans="1:7" x14ac:dyDescent="0.2">
      <c r="A294" s="8" t="s">
        <v>966</v>
      </c>
      <c r="B294" s="8">
        <v>33</v>
      </c>
      <c r="C294" s="8">
        <v>300</v>
      </c>
      <c r="D294" s="9">
        <v>800</v>
      </c>
      <c r="E294" s="2" t="s">
        <v>967</v>
      </c>
      <c r="F294" s="10">
        <v>229.34</v>
      </c>
      <c r="G294" s="11">
        <f>(F_R_Comp)*229.34</f>
        <v>229.34</v>
      </c>
    </row>
    <row r="295" spans="1:7" x14ac:dyDescent="0.2">
      <c r="A295" s="8" t="s">
        <v>968</v>
      </c>
      <c r="B295" s="8">
        <v>33</v>
      </c>
      <c r="C295" s="8">
        <v>300</v>
      </c>
      <c r="D295" s="9">
        <v>900</v>
      </c>
      <c r="E295" s="2" t="s">
        <v>969</v>
      </c>
      <c r="F295" s="10">
        <v>244.03</v>
      </c>
      <c r="G295" s="11">
        <f>(F_R_Comp)*244.03</f>
        <v>244.03</v>
      </c>
    </row>
    <row r="296" spans="1:7" x14ac:dyDescent="0.2">
      <c r="A296" s="8" t="s">
        <v>970</v>
      </c>
      <c r="B296" s="8">
        <v>33</v>
      </c>
      <c r="C296" s="8">
        <v>300</v>
      </c>
      <c r="D296" s="9">
        <v>1000</v>
      </c>
      <c r="E296" s="2" t="s">
        <v>971</v>
      </c>
      <c r="F296" s="10">
        <v>258.49</v>
      </c>
      <c r="G296" s="11">
        <f>(F_R_Comp)*258.49</f>
        <v>258.49</v>
      </c>
    </row>
    <row r="297" spans="1:7" x14ac:dyDescent="0.2">
      <c r="A297" s="8" t="s">
        <v>972</v>
      </c>
      <c r="B297" s="8">
        <v>33</v>
      </c>
      <c r="C297" s="8">
        <v>300</v>
      </c>
      <c r="D297" s="9">
        <v>1100</v>
      </c>
      <c r="E297" s="2" t="s">
        <v>973</v>
      </c>
      <c r="F297" s="10">
        <v>272.8</v>
      </c>
      <c r="G297" s="11">
        <f>(F_R_Comp)*272.8</f>
        <v>272.8</v>
      </c>
    </row>
    <row r="298" spans="1:7" x14ac:dyDescent="0.2">
      <c r="A298" s="8" t="s">
        <v>974</v>
      </c>
      <c r="B298" s="8">
        <v>33</v>
      </c>
      <c r="C298" s="8">
        <v>300</v>
      </c>
      <c r="D298" s="9">
        <v>1200</v>
      </c>
      <c r="E298" s="2" t="s">
        <v>975</v>
      </c>
      <c r="F298" s="10">
        <v>287.56</v>
      </c>
      <c r="G298" s="11">
        <f>(F_R_Comp)*287.56</f>
        <v>287.56</v>
      </c>
    </row>
    <row r="299" spans="1:7" x14ac:dyDescent="0.2">
      <c r="A299" s="8" t="s">
        <v>976</v>
      </c>
      <c r="B299" s="8">
        <v>33</v>
      </c>
      <c r="C299" s="8">
        <v>300</v>
      </c>
      <c r="D299" s="9">
        <v>1400</v>
      </c>
      <c r="E299" s="2" t="s">
        <v>977</v>
      </c>
      <c r="F299" s="10">
        <v>316.61</v>
      </c>
      <c r="G299" s="11">
        <f>(F_R_Comp)*316.61</f>
        <v>316.61</v>
      </c>
    </row>
    <row r="300" spans="1:7" x14ac:dyDescent="0.2">
      <c r="A300" s="8" t="s">
        <v>978</v>
      </c>
      <c r="B300" s="8">
        <v>33</v>
      </c>
      <c r="C300" s="8">
        <v>300</v>
      </c>
      <c r="D300" s="9">
        <v>1600</v>
      </c>
      <c r="E300" s="2" t="s">
        <v>979</v>
      </c>
      <c r="F300" s="10">
        <v>345.78</v>
      </c>
      <c r="G300" s="11">
        <f>(F_R_Comp)*345.78</f>
        <v>345.78</v>
      </c>
    </row>
    <row r="301" spans="1:7" x14ac:dyDescent="0.2">
      <c r="A301" s="8" t="s">
        <v>980</v>
      </c>
      <c r="B301" s="8">
        <v>33</v>
      </c>
      <c r="C301" s="8">
        <v>300</v>
      </c>
      <c r="D301" s="9">
        <v>1800</v>
      </c>
      <c r="E301" s="2" t="s">
        <v>981</v>
      </c>
      <c r="F301" s="10">
        <v>366.03</v>
      </c>
      <c r="G301" s="11">
        <f>(F_R_Comp)*366.03</f>
        <v>366.03</v>
      </c>
    </row>
    <row r="302" spans="1:7" x14ac:dyDescent="0.2">
      <c r="A302" s="8" t="s">
        <v>982</v>
      </c>
      <c r="B302" s="8">
        <v>33</v>
      </c>
      <c r="C302" s="8">
        <v>300</v>
      </c>
      <c r="D302" s="9">
        <v>2000</v>
      </c>
      <c r="E302" s="2" t="s">
        <v>983</v>
      </c>
      <c r="F302" s="10">
        <v>403.59</v>
      </c>
      <c r="G302" s="11">
        <f>(F_R_Comp)*403.59</f>
        <v>403.59</v>
      </c>
    </row>
    <row r="303" spans="1:7" x14ac:dyDescent="0.2">
      <c r="A303" s="8" t="s">
        <v>984</v>
      </c>
      <c r="B303" s="8">
        <v>33</v>
      </c>
      <c r="C303" s="8">
        <v>300</v>
      </c>
      <c r="D303" s="9">
        <v>2300</v>
      </c>
      <c r="E303" s="2" t="s">
        <v>985</v>
      </c>
      <c r="F303" s="10">
        <v>447.39</v>
      </c>
      <c r="G303" s="11">
        <f>(F_R_Comp)*447.39</f>
        <v>447.39</v>
      </c>
    </row>
    <row r="304" spans="1:7" x14ac:dyDescent="0.2">
      <c r="A304" s="8" t="s">
        <v>986</v>
      </c>
      <c r="B304" s="8">
        <v>33</v>
      </c>
      <c r="C304" s="8">
        <v>300</v>
      </c>
      <c r="D304" s="9">
        <v>2600</v>
      </c>
      <c r="E304" s="2" t="s">
        <v>987</v>
      </c>
      <c r="F304" s="10">
        <v>490.46</v>
      </c>
      <c r="G304" s="11">
        <f>(F_R_Comp)*490.46</f>
        <v>490.46</v>
      </c>
    </row>
    <row r="305" spans="1:7" x14ac:dyDescent="0.2">
      <c r="A305" s="8" t="s">
        <v>988</v>
      </c>
      <c r="B305" s="8">
        <v>33</v>
      </c>
      <c r="C305" s="8">
        <v>300</v>
      </c>
      <c r="D305" s="9">
        <v>3000</v>
      </c>
      <c r="E305" s="2" t="s">
        <v>989</v>
      </c>
      <c r="F305" s="10">
        <v>535.54999999999995</v>
      </c>
      <c r="G305" s="11">
        <f>(F_R_Comp)*535.55</f>
        <v>535.54999999999995</v>
      </c>
    </row>
    <row r="306" spans="1:7" x14ac:dyDescent="0.2">
      <c r="A306" s="8" t="s">
        <v>990</v>
      </c>
      <c r="B306" s="8">
        <v>33</v>
      </c>
      <c r="C306" s="8">
        <v>400</v>
      </c>
      <c r="D306" s="9">
        <v>400</v>
      </c>
      <c r="E306" s="2" t="s">
        <v>991</v>
      </c>
      <c r="F306" s="10">
        <v>186.9</v>
      </c>
      <c r="G306" s="11">
        <f>(F_R_Comp)*186.9</f>
        <v>186.9</v>
      </c>
    </row>
    <row r="307" spans="1:7" x14ac:dyDescent="0.2">
      <c r="A307" s="8" t="s">
        <v>992</v>
      </c>
      <c r="B307" s="8">
        <v>33</v>
      </c>
      <c r="C307" s="8">
        <v>400</v>
      </c>
      <c r="D307" s="9">
        <v>500</v>
      </c>
      <c r="E307" s="2" t="s">
        <v>993</v>
      </c>
      <c r="F307" s="10">
        <v>200.3</v>
      </c>
      <c r="G307" s="11">
        <f>(F_R_Comp)*200.3</f>
        <v>200.3</v>
      </c>
    </row>
    <row r="308" spans="1:7" x14ac:dyDescent="0.2">
      <c r="A308" s="8" t="s">
        <v>994</v>
      </c>
      <c r="B308" s="8">
        <v>33</v>
      </c>
      <c r="C308" s="8">
        <v>400</v>
      </c>
      <c r="D308" s="9">
        <v>600</v>
      </c>
      <c r="E308" s="2" t="s">
        <v>995</v>
      </c>
      <c r="F308" s="10">
        <v>214.37</v>
      </c>
      <c r="G308" s="11">
        <f>(F_R_Comp)*214.37</f>
        <v>214.37</v>
      </c>
    </row>
    <row r="309" spans="1:7" x14ac:dyDescent="0.2">
      <c r="A309" s="8" t="s">
        <v>996</v>
      </c>
      <c r="B309" s="8">
        <v>33</v>
      </c>
      <c r="C309" s="8">
        <v>400</v>
      </c>
      <c r="D309" s="9">
        <v>700</v>
      </c>
      <c r="E309" s="2" t="s">
        <v>997</v>
      </c>
      <c r="F309" s="10">
        <v>230.38</v>
      </c>
      <c r="G309" s="11">
        <f>(F_R_Comp)*230.38</f>
        <v>230.38</v>
      </c>
    </row>
    <row r="310" spans="1:7" x14ac:dyDescent="0.2">
      <c r="A310" s="8" t="s">
        <v>998</v>
      </c>
      <c r="B310" s="8">
        <v>33</v>
      </c>
      <c r="C310" s="8">
        <v>400</v>
      </c>
      <c r="D310" s="9">
        <v>800</v>
      </c>
      <c r="E310" s="2" t="s">
        <v>999</v>
      </c>
      <c r="F310" s="10">
        <v>246.44</v>
      </c>
      <c r="G310" s="11">
        <f>(F_R_Comp)*246.44</f>
        <v>246.44</v>
      </c>
    </row>
    <row r="311" spans="1:7" x14ac:dyDescent="0.2">
      <c r="A311" s="8" t="s">
        <v>1000</v>
      </c>
      <c r="B311" s="8">
        <v>33</v>
      </c>
      <c r="C311" s="8">
        <v>400</v>
      </c>
      <c r="D311" s="9">
        <v>900</v>
      </c>
      <c r="E311" s="2" t="s">
        <v>1001</v>
      </c>
      <c r="F311" s="10">
        <v>264.72000000000003</v>
      </c>
      <c r="G311" s="11">
        <f>(F_R_Comp)*264.72</f>
        <v>264.72000000000003</v>
      </c>
    </row>
    <row r="312" spans="1:7" x14ac:dyDescent="0.2">
      <c r="A312" s="8" t="s">
        <v>1002</v>
      </c>
      <c r="B312" s="8">
        <v>33</v>
      </c>
      <c r="C312" s="8">
        <v>400</v>
      </c>
      <c r="D312" s="9">
        <v>1000</v>
      </c>
      <c r="E312" s="2" t="s">
        <v>1003</v>
      </c>
      <c r="F312" s="10">
        <v>282.27999999999997</v>
      </c>
      <c r="G312" s="11">
        <f>(F_R_Comp)*282.28</f>
        <v>282.27999999999997</v>
      </c>
    </row>
    <row r="313" spans="1:7" x14ac:dyDescent="0.2">
      <c r="A313" s="8" t="s">
        <v>1004</v>
      </c>
      <c r="B313" s="8">
        <v>33</v>
      </c>
      <c r="C313" s="8">
        <v>400</v>
      </c>
      <c r="D313" s="9">
        <v>1100</v>
      </c>
      <c r="E313" s="2" t="s">
        <v>1005</v>
      </c>
      <c r="F313" s="10">
        <v>300.32</v>
      </c>
      <c r="G313" s="11">
        <f>(F_R_Comp)*300.32</f>
        <v>300.32</v>
      </c>
    </row>
    <row r="314" spans="1:7" x14ac:dyDescent="0.2">
      <c r="A314" s="8" t="s">
        <v>1006</v>
      </c>
      <c r="B314" s="8">
        <v>33</v>
      </c>
      <c r="C314" s="8">
        <v>400</v>
      </c>
      <c r="D314" s="9">
        <v>1200</v>
      </c>
      <c r="E314" s="2" t="s">
        <v>1007</v>
      </c>
      <c r="F314" s="10">
        <v>317.91000000000003</v>
      </c>
      <c r="G314" s="11">
        <f>(F_R_Comp)*317.91</f>
        <v>317.91000000000003</v>
      </c>
    </row>
    <row r="315" spans="1:7" x14ac:dyDescent="0.2">
      <c r="A315" s="8" t="s">
        <v>1008</v>
      </c>
      <c r="B315" s="8">
        <v>33</v>
      </c>
      <c r="C315" s="8">
        <v>400</v>
      </c>
      <c r="D315" s="9">
        <v>1400</v>
      </c>
      <c r="E315" s="2" t="s">
        <v>1009</v>
      </c>
      <c r="F315" s="10">
        <v>354.21</v>
      </c>
      <c r="G315" s="11">
        <f>(F_R_Comp)*354.21</f>
        <v>354.21</v>
      </c>
    </row>
    <row r="316" spans="1:7" x14ac:dyDescent="0.2">
      <c r="A316" s="8" t="s">
        <v>1010</v>
      </c>
      <c r="B316" s="8">
        <v>33</v>
      </c>
      <c r="C316" s="8">
        <v>400</v>
      </c>
      <c r="D316" s="9">
        <v>1600</v>
      </c>
      <c r="E316" s="2" t="s">
        <v>1011</v>
      </c>
      <c r="F316" s="10">
        <v>389.56</v>
      </c>
      <c r="G316" s="11">
        <f>(F_R_Comp)*389.56</f>
        <v>389.56</v>
      </c>
    </row>
    <row r="317" spans="1:7" x14ac:dyDescent="0.2">
      <c r="A317" s="8" t="s">
        <v>1012</v>
      </c>
      <c r="B317" s="8">
        <v>33</v>
      </c>
      <c r="C317" s="8">
        <v>400</v>
      </c>
      <c r="D317" s="9">
        <v>1800</v>
      </c>
      <c r="E317" s="2" t="s">
        <v>1013</v>
      </c>
      <c r="F317" s="10">
        <v>425.41</v>
      </c>
      <c r="G317" s="11">
        <f>(F_R_Comp)*425.41</f>
        <v>425.41</v>
      </c>
    </row>
    <row r="318" spans="1:7" x14ac:dyDescent="0.2">
      <c r="A318" s="8" t="s">
        <v>1014</v>
      </c>
      <c r="B318" s="8">
        <v>33</v>
      </c>
      <c r="C318" s="8">
        <v>400</v>
      </c>
      <c r="D318" s="9">
        <v>2000</v>
      </c>
      <c r="E318" s="2" t="s">
        <v>1015</v>
      </c>
      <c r="F318" s="10">
        <v>461.42</v>
      </c>
      <c r="G318" s="11">
        <f>(F_R_Comp)*461.42</f>
        <v>461.42</v>
      </c>
    </row>
    <row r="319" spans="1:7" x14ac:dyDescent="0.2">
      <c r="A319" s="8" t="s">
        <v>1016</v>
      </c>
      <c r="B319" s="8">
        <v>33</v>
      </c>
      <c r="C319" s="8">
        <v>400</v>
      </c>
      <c r="D319" s="9">
        <v>2300</v>
      </c>
      <c r="E319" s="2" t="s">
        <v>1017</v>
      </c>
      <c r="F319" s="10">
        <v>514.91</v>
      </c>
      <c r="G319" s="11">
        <f>(F_R_Comp)*514.91</f>
        <v>514.91</v>
      </c>
    </row>
    <row r="320" spans="1:7" x14ac:dyDescent="0.2">
      <c r="A320" s="8" t="s">
        <v>1018</v>
      </c>
      <c r="B320" s="8">
        <v>33</v>
      </c>
      <c r="C320" s="8">
        <v>400</v>
      </c>
      <c r="D320" s="9">
        <v>2600</v>
      </c>
      <c r="E320" s="2" t="s">
        <v>1019</v>
      </c>
      <c r="F320" s="10">
        <v>568.28</v>
      </c>
      <c r="G320" s="11">
        <f>(F_R_Comp)*568.28</f>
        <v>568.28</v>
      </c>
    </row>
    <row r="321" spans="1:7" x14ac:dyDescent="0.2">
      <c r="A321" s="8" t="s">
        <v>1020</v>
      </c>
      <c r="B321" s="8">
        <v>33</v>
      </c>
      <c r="C321" s="8">
        <v>400</v>
      </c>
      <c r="D321" s="9">
        <v>3000</v>
      </c>
      <c r="E321" s="2" t="s">
        <v>1021</v>
      </c>
      <c r="F321" s="10">
        <v>626.12</v>
      </c>
      <c r="G321" s="11">
        <f>(F_R_Comp)*626.12</f>
        <v>626.12</v>
      </c>
    </row>
    <row r="322" spans="1:7" x14ac:dyDescent="0.2">
      <c r="A322" s="8" t="s">
        <v>1022</v>
      </c>
      <c r="B322" s="8">
        <v>33</v>
      </c>
      <c r="C322" s="8">
        <v>500</v>
      </c>
      <c r="D322" s="9">
        <v>400</v>
      </c>
      <c r="E322" s="2" t="s">
        <v>1023</v>
      </c>
      <c r="F322" s="10">
        <v>213.68</v>
      </c>
      <c r="G322" s="11">
        <f>(F_R_Comp)*213.68</f>
        <v>213.68</v>
      </c>
    </row>
    <row r="323" spans="1:7" x14ac:dyDescent="0.2">
      <c r="A323" s="8" t="s">
        <v>1024</v>
      </c>
      <c r="B323" s="8">
        <v>33</v>
      </c>
      <c r="C323" s="8">
        <v>500</v>
      </c>
      <c r="D323" s="9">
        <v>500</v>
      </c>
      <c r="E323" s="2" t="s">
        <v>1025</v>
      </c>
      <c r="F323" s="10">
        <v>230.69</v>
      </c>
      <c r="G323" s="11">
        <f>(F_R_Comp)*230.69</f>
        <v>230.69</v>
      </c>
    </row>
    <row r="324" spans="1:7" x14ac:dyDescent="0.2">
      <c r="A324" s="8" t="s">
        <v>1026</v>
      </c>
      <c r="B324" s="8">
        <v>33</v>
      </c>
      <c r="C324" s="8">
        <v>500</v>
      </c>
      <c r="D324" s="9">
        <v>600</v>
      </c>
      <c r="E324" s="2" t="s">
        <v>1027</v>
      </c>
      <c r="F324" s="10">
        <v>248.41</v>
      </c>
      <c r="G324" s="11">
        <f>(F_R_Comp)*248.41</f>
        <v>248.41</v>
      </c>
    </row>
    <row r="325" spans="1:7" x14ac:dyDescent="0.2">
      <c r="A325" s="8" t="s">
        <v>1028</v>
      </c>
      <c r="B325" s="8">
        <v>33</v>
      </c>
      <c r="C325" s="8">
        <v>500</v>
      </c>
      <c r="D325" s="9">
        <v>700</v>
      </c>
      <c r="E325" s="2" t="s">
        <v>1029</v>
      </c>
      <c r="F325" s="10">
        <v>267.33999999999997</v>
      </c>
      <c r="G325" s="11">
        <f>(F_R_Comp)*267.34</f>
        <v>267.33999999999997</v>
      </c>
    </row>
    <row r="326" spans="1:7" x14ac:dyDescent="0.2">
      <c r="A326" s="8" t="s">
        <v>1030</v>
      </c>
      <c r="B326" s="8">
        <v>33</v>
      </c>
      <c r="C326" s="8">
        <v>500</v>
      </c>
      <c r="D326" s="9">
        <v>800</v>
      </c>
      <c r="E326" s="2" t="s">
        <v>1031</v>
      </c>
      <c r="F326" s="10">
        <v>288.5</v>
      </c>
      <c r="G326" s="11">
        <f>(F_R_Comp)*288.5</f>
        <v>288.5</v>
      </c>
    </row>
    <row r="327" spans="1:7" x14ac:dyDescent="0.2">
      <c r="A327" s="8" t="s">
        <v>1032</v>
      </c>
      <c r="B327" s="8">
        <v>33</v>
      </c>
      <c r="C327" s="8">
        <v>500</v>
      </c>
      <c r="D327" s="9">
        <v>900</v>
      </c>
      <c r="E327" s="2" t="s">
        <v>1033</v>
      </c>
      <c r="F327" s="10">
        <v>310.41000000000003</v>
      </c>
      <c r="G327" s="11">
        <f>(F_R_Comp)*310.41</f>
        <v>310.41000000000003</v>
      </c>
    </row>
    <row r="328" spans="1:7" x14ac:dyDescent="0.2">
      <c r="A328" s="8" t="s">
        <v>1034</v>
      </c>
      <c r="B328" s="8">
        <v>33</v>
      </c>
      <c r="C328" s="8">
        <v>500</v>
      </c>
      <c r="D328" s="9">
        <v>1000</v>
      </c>
      <c r="E328" s="2" t="s">
        <v>1035</v>
      </c>
      <c r="F328" s="10">
        <v>331.97</v>
      </c>
      <c r="G328" s="11">
        <f>(F_R_Comp)*331.97</f>
        <v>331.97</v>
      </c>
    </row>
    <row r="329" spans="1:7" x14ac:dyDescent="0.2">
      <c r="A329" s="8" t="s">
        <v>1036</v>
      </c>
      <c r="B329" s="8">
        <v>33</v>
      </c>
      <c r="C329" s="8">
        <v>500</v>
      </c>
      <c r="D329" s="9">
        <v>1100</v>
      </c>
      <c r="E329" s="2" t="s">
        <v>1037</v>
      </c>
      <c r="F329" s="10">
        <v>354.21</v>
      </c>
      <c r="G329" s="11">
        <f>(F_R_Comp)*354.21</f>
        <v>354.21</v>
      </c>
    </row>
    <row r="330" spans="1:7" x14ac:dyDescent="0.2">
      <c r="A330" s="8" t="s">
        <v>1038</v>
      </c>
      <c r="B330" s="8">
        <v>33</v>
      </c>
      <c r="C330" s="8">
        <v>500</v>
      </c>
      <c r="D330" s="9">
        <v>1200</v>
      </c>
      <c r="E330" s="2" t="s">
        <v>1039</v>
      </c>
      <c r="F330" s="10">
        <v>376.15</v>
      </c>
      <c r="G330" s="11">
        <f>(F_R_Comp)*376.15</f>
        <v>376.15</v>
      </c>
    </row>
    <row r="331" spans="1:7" x14ac:dyDescent="0.2">
      <c r="A331" s="8" t="s">
        <v>1040</v>
      </c>
      <c r="B331" s="8">
        <v>33</v>
      </c>
      <c r="C331" s="8">
        <v>500</v>
      </c>
      <c r="D331" s="9">
        <v>1400</v>
      </c>
      <c r="E331" s="2" t="s">
        <v>1041</v>
      </c>
      <c r="F331" s="10">
        <v>419.21</v>
      </c>
      <c r="G331" s="11">
        <f>(F_R_Comp)*419.21</f>
        <v>419.21</v>
      </c>
    </row>
    <row r="332" spans="1:7" x14ac:dyDescent="0.2">
      <c r="A332" s="8" t="s">
        <v>1042</v>
      </c>
      <c r="B332" s="8">
        <v>33</v>
      </c>
      <c r="C332" s="8">
        <v>500</v>
      </c>
      <c r="D332" s="9">
        <v>1600</v>
      </c>
      <c r="E332" s="2" t="s">
        <v>1043</v>
      </c>
      <c r="F332" s="10">
        <v>463.39</v>
      </c>
      <c r="G332" s="11">
        <f>(F_R_Comp)*463.39</f>
        <v>463.39</v>
      </c>
    </row>
    <row r="333" spans="1:7" x14ac:dyDescent="0.2">
      <c r="A333" s="8" t="s">
        <v>1044</v>
      </c>
      <c r="B333" s="8">
        <v>33</v>
      </c>
      <c r="C333" s="8">
        <v>500</v>
      </c>
      <c r="D333" s="9">
        <v>1800</v>
      </c>
      <c r="E333" s="2" t="s">
        <v>1045</v>
      </c>
      <c r="F333" s="10">
        <v>507.41</v>
      </c>
      <c r="G333" s="11">
        <f>(F_R_Comp)*507.41</f>
        <v>507.41</v>
      </c>
    </row>
    <row r="334" spans="1:7" x14ac:dyDescent="0.2">
      <c r="A334" s="8" t="s">
        <v>1046</v>
      </c>
      <c r="B334" s="8">
        <v>33</v>
      </c>
      <c r="C334" s="8">
        <v>500</v>
      </c>
      <c r="D334" s="9">
        <v>2000</v>
      </c>
      <c r="E334" s="2" t="s">
        <v>1047</v>
      </c>
      <c r="F334" s="10">
        <v>550.94000000000005</v>
      </c>
      <c r="G334" s="11">
        <f>(F_R_Comp)*550.94</f>
        <v>550.94000000000005</v>
      </c>
    </row>
    <row r="335" spans="1:7" x14ac:dyDescent="0.2">
      <c r="A335" s="8" t="s">
        <v>1048</v>
      </c>
      <c r="B335" s="8">
        <v>33</v>
      </c>
      <c r="C335" s="8">
        <v>500</v>
      </c>
      <c r="D335" s="9">
        <v>2300</v>
      </c>
      <c r="E335" s="2" t="s">
        <v>1049</v>
      </c>
      <c r="F335" s="10">
        <v>616.92999999999995</v>
      </c>
      <c r="G335" s="11">
        <f>(F_R_Comp)*616.93</f>
        <v>616.92999999999995</v>
      </c>
    </row>
    <row r="336" spans="1:7" x14ac:dyDescent="0.2">
      <c r="A336" s="8" t="s">
        <v>1050</v>
      </c>
      <c r="B336" s="8">
        <v>33</v>
      </c>
      <c r="C336" s="8">
        <v>500</v>
      </c>
      <c r="D336" s="9">
        <v>2600</v>
      </c>
      <c r="E336" s="2" t="s">
        <v>1051</v>
      </c>
      <c r="F336" s="10">
        <v>682.64</v>
      </c>
      <c r="G336" s="11">
        <f>(F_R_Comp)*682.64</f>
        <v>682.64</v>
      </c>
    </row>
    <row r="337" spans="1:7" x14ac:dyDescent="0.2">
      <c r="A337" s="8" t="s">
        <v>1052</v>
      </c>
      <c r="B337" s="8">
        <v>33</v>
      </c>
      <c r="C337" s="8">
        <v>500</v>
      </c>
      <c r="D337" s="9">
        <v>3000</v>
      </c>
      <c r="E337" s="2" t="s">
        <v>1053</v>
      </c>
      <c r="F337" s="10">
        <v>754.52</v>
      </c>
      <c r="G337" s="11">
        <f>(F_R_Comp)*754.52</f>
        <v>754.52</v>
      </c>
    </row>
    <row r="338" spans="1:7" x14ac:dyDescent="0.2">
      <c r="A338" s="8">
        <v>1233550040</v>
      </c>
      <c r="B338" s="8">
        <v>33</v>
      </c>
      <c r="C338" s="8">
        <v>550</v>
      </c>
      <c r="D338" s="9">
        <v>400</v>
      </c>
      <c r="E338" s="2" t="s">
        <v>5262</v>
      </c>
      <c r="F338" s="10">
        <v>221.39932500000003</v>
      </c>
      <c r="G338" s="11">
        <f>(F_R_Comp)*221.399325</f>
        <v>221.399325</v>
      </c>
    </row>
    <row r="339" spans="1:7" x14ac:dyDescent="0.2">
      <c r="A339" s="8">
        <v>1233550050</v>
      </c>
      <c r="B339" s="8">
        <v>33</v>
      </c>
      <c r="C339" s="8">
        <v>550</v>
      </c>
      <c r="D339" s="9">
        <v>500</v>
      </c>
      <c r="E339" s="2" t="s">
        <v>5263</v>
      </c>
      <c r="F339" s="10">
        <v>238.834575</v>
      </c>
      <c r="G339" s="11">
        <f>(F_R_Comp)*238.834575</f>
        <v>238.834575</v>
      </c>
    </row>
    <row r="340" spans="1:7" x14ac:dyDescent="0.2">
      <c r="A340" s="8">
        <v>1233550060</v>
      </c>
      <c r="B340" s="8">
        <v>33</v>
      </c>
      <c r="C340" s="8">
        <v>550</v>
      </c>
      <c r="D340" s="9">
        <v>600</v>
      </c>
      <c r="E340" s="2" t="s">
        <v>5264</v>
      </c>
      <c r="F340" s="10">
        <v>257.84325000000001</v>
      </c>
      <c r="G340" s="11">
        <f>(F_R_Comp)*257.84325</f>
        <v>257.84325000000001</v>
      </c>
    </row>
    <row r="341" spans="1:7" x14ac:dyDescent="0.2">
      <c r="A341" s="8">
        <v>1233550070</v>
      </c>
      <c r="B341" s="8">
        <v>33</v>
      </c>
      <c r="C341" s="8">
        <v>550</v>
      </c>
      <c r="D341" s="9">
        <v>700</v>
      </c>
      <c r="E341" s="2" t="s">
        <v>5265</v>
      </c>
      <c r="F341" s="10">
        <v>278.02845000000002</v>
      </c>
      <c r="G341" s="11">
        <f>(F_R_Comp)*278.02845</f>
        <v>278.02845000000002</v>
      </c>
    </row>
    <row r="342" spans="1:7" x14ac:dyDescent="0.2">
      <c r="A342" s="8">
        <v>1233550080</v>
      </c>
      <c r="B342" s="8">
        <v>33</v>
      </c>
      <c r="C342" s="8">
        <v>550</v>
      </c>
      <c r="D342" s="9">
        <v>800</v>
      </c>
      <c r="E342" s="2" t="s">
        <v>5266</v>
      </c>
      <c r="F342" s="10">
        <v>300.04222500000003</v>
      </c>
      <c r="G342" s="11">
        <f>(F_R_Comp)*300.042225</f>
        <v>300.04222499999997</v>
      </c>
    </row>
    <row r="343" spans="1:7" x14ac:dyDescent="0.2">
      <c r="A343" s="8">
        <v>1233550090</v>
      </c>
      <c r="B343" s="8">
        <v>33</v>
      </c>
      <c r="C343" s="8">
        <v>550</v>
      </c>
      <c r="D343" s="9">
        <v>900</v>
      </c>
      <c r="E343" s="2" t="s">
        <v>5267</v>
      </c>
      <c r="F343" s="10">
        <v>323.57272499999999</v>
      </c>
      <c r="G343" s="11">
        <f>(F_R_Comp)*323.572725</f>
        <v>323.57272499999999</v>
      </c>
    </row>
    <row r="344" spans="1:7" x14ac:dyDescent="0.2">
      <c r="A344" s="8">
        <v>1233550100</v>
      </c>
      <c r="B344" s="8">
        <v>33</v>
      </c>
      <c r="C344" s="8">
        <v>550</v>
      </c>
      <c r="D344" s="9">
        <v>1000</v>
      </c>
      <c r="E344" s="2" t="s">
        <v>5268</v>
      </c>
      <c r="F344" s="10">
        <v>346.29525000000001</v>
      </c>
      <c r="G344" s="11">
        <f>(F_R_Comp)*346.29525</f>
        <v>346.29525000000001</v>
      </c>
    </row>
    <row r="345" spans="1:7" x14ac:dyDescent="0.2">
      <c r="A345" s="8">
        <v>1233550110</v>
      </c>
      <c r="B345" s="8">
        <v>33</v>
      </c>
      <c r="C345" s="8">
        <v>550</v>
      </c>
      <c r="D345" s="9">
        <v>1100</v>
      </c>
      <c r="E345" s="2" t="s">
        <v>5269</v>
      </c>
      <c r="F345" s="10">
        <v>369.78322500000002</v>
      </c>
      <c r="G345" s="11">
        <f>(F_R_Comp)*369.783225</f>
        <v>369.78322500000002</v>
      </c>
    </row>
    <row r="346" spans="1:7" x14ac:dyDescent="0.2">
      <c r="A346" s="8">
        <v>1233550120</v>
      </c>
      <c r="B346" s="8">
        <v>33</v>
      </c>
      <c r="C346" s="8">
        <v>550</v>
      </c>
      <c r="D346" s="9">
        <v>1200</v>
      </c>
      <c r="E346" s="2" t="s">
        <v>5270</v>
      </c>
      <c r="F346" s="10">
        <v>393.15780000000001</v>
      </c>
      <c r="G346" s="11">
        <f>(F_R_Comp)*393.1578</f>
        <v>393.15780000000001</v>
      </c>
    </row>
    <row r="347" spans="1:7" x14ac:dyDescent="0.2">
      <c r="A347" s="8">
        <v>1233550140</v>
      </c>
      <c r="B347" s="8">
        <v>33</v>
      </c>
      <c r="C347" s="8">
        <v>550</v>
      </c>
      <c r="D347" s="9">
        <v>1400</v>
      </c>
      <c r="E347" s="2" t="s">
        <v>5271</v>
      </c>
      <c r="F347" s="10">
        <v>439.49587500000001</v>
      </c>
      <c r="G347" s="11">
        <f>(F_R_Comp)*439.495875</f>
        <v>439.49587500000001</v>
      </c>
    </row>
    <row r="348" spans="1:7" x14ac:dyDescent="0.2">
      <c r="A348" s="8">
        <v>1233550160</v>
      </c>
      <c r="B348" s="8">
        <v>33</v>
      </c>
      <c r="C348" s="8">
        <v>550</v>
      </c>
      <c r="D348" s="9">
        <v>1600</v>
      </c>
      <c r="E348" s="2" t="s">
        <v>5272</v>
      </c>
      <c r="F348" s="10">
        <v>486.01822500000003</v>
      </c>
      <c r="G348" s="11">
        <f>(F_R_Comp)*486.018225</f>
        <v>486.01822499999997</v>
      </c>
    </row>
    <row r="349" spans="1:7" x14ac:dyDescent="0.2">
      <c r="A349" s="8">
        <v>1233550180</v>
      </c>
      <c r="B349" s="8">
        <v>33</v>
      </c>
      <c r="C349" s="8">
        <v>550</v>
      </c>
      <c r="D349" s="9">
        <v>1800</v>
      </c>
      <c r="E349" s="2" t="s">
        <v>5273</v>
      </c>
      <c r="F349" s="10">
        <v>532.52640000000008</v>
      </c>
      <c r="G349" s="11">
        <f>(F_R_Comp)*532.5264</f>
        <v>532.52639999999997</v>
      </c>
    </row>
    <row r="350" spans="1:7" x14ac:dyDescent="0.2">
      <c r="A350" s="8">
        <v>1233550200</v>
      </c>
      <c r="B350" s="8">
        <v>33</v>
      </c>
      <c r="C350" s="8">
        <v>550</v>
      </c>
      <c r="D350" s="9">
        <v>2000</v>
      </c>
      <c r="E350" s="2" t="s">
        <v>5274</v>
      </c>
      <c r="F350" s="10">
        <v>579.07709999999997</v>
      </c>
      <c r="G350" s="11">
        <f>(F_R_Comp)*579.0771</f>
        <v>579.07709999999997</v>
      </c>
    </row>
    <row r="351" spans="1:7" x14ac:dyDescent="0.2">
      <c r="A351" s="8">
        <v>1233550230</v>
      </c>
      <c r="B351" s="8">
        <v>33</v>
      </c>
      <c r="C351" s="8">
        <v>550</v>
      </c>
      <c r="D351" s="9">
        <v>2300</v>
      </c>
      <c r="E351" s="2" t="s">
        <v>5275</v>
      </c>
      <c r="F351" s="10">
        <v>649.00237500000003</v>
      </c>
      <c r="G351" s="11">
        <f>(F_R_Comp)*649.002375</f>
        <v>649.00237500000003</v>
      </c>
    </row>
    <row r="352" spans="1:7" x14ac:dyDescent="0.2">
      <c r="A352" s="8">
        <v>1233550260</v>
      </c>
      <c r="B352" s="8">
        <v>33</v>
      </c>
      <c r="C352" s="8">
        <v>550</v>
      </c>
      <c r="D352" s="9">
        <v>2600</v>
      </c>
      <c r="E352" s="2" t="s">
        <v>5276</v>
      </c>
      <c r="F352" s="10">
        <v>719.09775000000002</v>
      </c>
      <c r="G352" s="11">
        <f>(F_R_Comp)*719.09775</f>
        <v>719.09775000000002</v>
      </c>
    </row>
    <row r="353" spans="1:7" x14ac:dyDescent="0.2">
      <c r="A353" s="8">
        <v>1233550300</v>
      </c>
      <c r="B353" s="8">
        <v>33</v>
      </c>
      <c r="C353" s="8">
        <v>550</v>
      </c>
      <c r="D353" s="9">
        <v>3000</v>
      </c>
      <c r="E353" s="2" t="s">
        <v>5277</v>
      </c>
      <c r="F353" s="10">
        <v>795.74197500000002</v>
      </c>
      <c r="G353" s="11">
        <f>(F_R_Comp)*795.741975</f>
        <v>795.74197500000002</v>
      </c>
    </row>
    <row r="354" spans="1:7" x14ac:dyDescent="0.2">
      <c r="A354" s="8" t="s">
        <v>1054</v>
      </c>
      <c r="B354" s="8">
        <v>33</v>
      </c>
      <c r="C354" s="8">
        <v>600</v>
      </c>
      <c r="D354" s="9">
        <v>400</v>
      </c>
      <c r="E354" s="2" t="s">
        <v>1055</v>
      </c>
      <c r="F354" s="10">
        <v>226.44</v>
      </c>
      <c r="G354" s="11">
        <f>(F_R_Comp)*226.44</f>
        <v>226.44</v>
      </c>
    </row>
    <row r="355" spans="1:7" x14ac:dyDescent="0.2">
      <c r="A355" s="8" t="s">
        <v>1056</v>
      </c>
      <c r="B355" s="8">
        <v>33</v>
      </c>
      <c r="C355" s="8">
        <v>600</v>
      </c>
      <c r="D355" s="9">
        <v>500</v>
      </c>
      <c r="E355" s="2" t="s">
        <v>1057</v>
      </c>
      <c r="F355" s="10">
        <v>244.72</v>
      </c>
      <c r="G355" s="11">
        <f>(F_R_Comp)*244.72</f>
        <v>244.72</v>
      </c>
    </row>
    <row r="356" spans="1:7" x14ac:dyDescent="0.2">
      <c r="A356" s="8" t="s">
        <v>1058</v>
      </c>
      <c r="B356" s="8">
        <v>33</v>
      </c>
      <c r="C356" s="8">
        <v>600</v>
      </c>
      <c r="D356" s="9">
        <v>600</v>
      </c>
      <c r="E356" s="2" t="s">
        <v>1059</v>
      </c>
      <c r="F356" s="10">
        <v>264.31</v>
      </c>
      <c r="G356" s="11">
        <f>(F_R_Comp)*264.31</f>
        <v>264.31</v>
      </c>
    </row>
    <row r="357" spans="1:7" x14ac:dyDescent="0.2">
      <c r="A357" s="8" t="s">
        <v>1060</v>
      </c>
      <c r="B357" s="8">
        <v>33</v>
      </c>
      <c r="C357" s="8">
        <v>600</v>
      </c>
      <c r="D357" s="9">
        <v>700</v>
      </c>
      <c r="E357" s="2" t="s">
        <v>1061</v>
      </c>
      <c r="F357" s="10">
        <v>285.32</v>
      </c>
      <c r="G357" s="11">
        <f>(F_R_Comp)*285.32</f>
        <v>285.32</v>
      </c>
    </row>
    <row r="358" spans="1:7" x14ac:dyDescent="0.2">
      <c r="A358" s="8" t="s">
        <v>1062</v>
      </c>
      <c r="B358" s="8">
        <v>33</v>
      </c>
      <c r="C358" s="8">
        <v>600</v>
      </c>
      <c r="D358" s="9">
        <v>800</v>
      </c>
      <c r="E358" s="2" t="s">
        <v>1063</v>
      </c>
      <c r="F358" s="10">
        <v>308.19</v>
      </c>
      <c r="G358" s="11">
        <f>(F_R_Comp)*308.19</f>
        <v>308.19</v>
      </c>
    </row>
    <row r="359" spans="1:7" x14ac:dyDescent="0.2">
      <c r="A359" s="8" t="s">
        <v>1064</v>
      </c>
      <c r="B359" s="8">
        <v>33</v>
      </c>
      <c r="C359" s="8">
        <v>600</v>
      </c>
      <c r="D359" s="9">
        <v>900</v>
      </c>
      <c r="E359" s="2" t="s">
        <v>1065</v>
      </c>
      <c r="F359" s="10">
        <v>332.63</v>
      </c>
      <c r="G359" s="11">
        <f>(F_R_Comp)*332.63</f>
        <v>332.63</v>
      </c>
    </row>
    <row r="360" spans="1:7" x14ac:dyDescent="0.2">
      <c r="A360" s="8" t="s">
        <v>1066</v>
      </c>
      <c r="B360" s="8">
        <v>33</v>
      </c>
      <c r="C360" s="8">
        <v>600</v>
      </c>
      <c r="D360" s="9">
        <v>1000</v>
      </c>
      <c r="E360" s="2" t="s">
        <v>1067</v>
      </c>
      <c r="F360" s="10">
        <v>356.54</v>
      </c>
      <c r="G360" s="11">
        <f>(F_R_Comp)*356.54</f>
        <v>356.54</v>
      </c>
    </row>
    <row r="361" spans="1:7" x14ac:dyDescent="0.2">
      <c r="A361" s="8" t="s">
        <v>1068</v>
      </c>
      <c r="B361" s="8">
        <v>33</v>
      </c>
      <c r="C361" s="8">
        <v>600</v>
      </c>
      <c r="D361" s="9">
        <v>1100</v>
      </c>
      <c r="E361" s="2" t="s">
        <v>1069</v>
      </c>
      <c r="F361" s="10">
        <v>381</v>
      </c>
      <c r="G361" s="11">
        <f>(F_R_Comp)*381</f>
        <v>381</v>
      </c>
    </row>
    <row r="362" spans="1:7" x14ac:dyDescent="0.2">
      <c r="A362" s="8" t="s">
        <v>1070</v>
      </c>
      <c r="B362" s="8">
        <v>33</v>
      </c>
      <c r="C362" s="8">
        <v>600</v>
      </c>
      <c r="D362" s="9">
        <v>1200</v>
      </c>
      <c r="E362" s="2" t="s">
        <v>1071</v>
      </c>
      <c r="F362" s="10">
        <v>405.54</v>
      </c>
      <c r="G362" s="11">
        <f>(F_R_Comp)*405.54</f>
        <v>405.54</v>
      </c>
    </row>
    <row r="363" spans="1:7" x14ac:dyDescent="0.2">
      <c r="A363" s="8" t="s">
        <v>1072</v>
      </c>
      <c r="B363" s="8">
        <v>33</v>
      </c>
      <c r="C363" s="8">
        <v>600</v>
      </c>
      <c r="D363" s="9">
        <v>1400</v>
      </c>
      <c r="E363" s="2" t="s">
        <v>1073</v>
      </c>
      <c r="F363" s="10">
        <v>453.8</v>
      </c>
      <c r="G363" s="11">
        <f>(F_R_Comp)*453.8</f>
        <v>453.8</v>
      </c>
    </row>
    <row r="364" spans="1:7" x14ac:dyDescent="0.2">
      <c r="A364" s="8" t="s">
        <v>1074</v>
      </c>
      <c r="B364" s="8">
        <v>33</v>
      </c>
      <c r="C364" s="8">
        <v>600</v>
      </c>
      <c r="D364" s="9">
        <v>1600</v>
      </c>
      <c r="E364" s="2" t="s">
        <v>1075</v>
      </c>
      <c r="F364" s="10">
        <v>502.57</v>
      </c>
      <c r="G364" s="11">
        <f>(F_R_Comp)*502.57</f>
        <v>502.57</v>
      </c>
    </row>
    <row r="365" spans="1:7" x14ac:dyDescent="0.2">
      <c r="A365" s="8" t="s">
        <v>1076</v>
      </c>
      <c r="B365" s="8">
        <v>33</v>
      </c>
      <c r="C365" s="8">
        <v>600</v>
      </c>
      <c r="D365" s="9">
        <v>1800</v>
      </c>
      <c r="E365" s="2" t="s">
        <v>1077</v>
      </c>
      <c r="F365" s="10">
        <v>551.57000000000005</v>
      </c>
      <c r="G365" s="11">
        <f>(F_R_Comp)*551.57</f>
        <v>551.57000000000005</v>
      </c>
    </row>
    <row r="366" spans="1:7" x14ac:dyDescent="0.2">
      <c r="A366" s="8" t="s">
        <v>1078</v>
      </c>
      <c r="B366" s="8">
        <v>33</v>
      </c>
      <c r="C366" s="8">
        <v>600</v>
      </c>
      <c r="D366" s="9">
        <v>2000</v>
      </c>
      <c r="E366" s="2" t="s">
        <v>1079</v>
      </c>
      <c r="F366" s="10">
        <v>599.55999999999995</v>
      </c>
      <c r="G366" s="11">
        <f>(F_R_Comp)*599.56</f>
        <v>599.55999999999995</v>
      </c>
    </row>
    <row r="367" spans="1:7" x14ac:dyDescent="0.2">
      <c r="A367" s="8" t="s">
        <v>1080</v>
      </c>
      <c r="B367" s="8">
        <v>33</v>
      </c>
      <c r="C367" s="8">
        <v>600</v>
      </c>
      <c r="D367" s="9">
        <v>2300</v>
      </c>
      <c r="E367" s="2" t="s">
        <v>1081</v>
      </c>
      <c r="F367" s="10">
        <v>673.14</v>
      </c>
      <c r="G367" s="11">
        <f>(F_R_Comp)*673.14</f>
        <v>673.14</v>
      </c>
    </row>
    <row r="368" spans="1:7" x14ac:dyDescent="0.2">
      <c r="A368" s="8" t="s">
        <v>1082</v>
      </c>
      <c r="B368" s="8">
        <v>33</v>
      </c>
      <c r="C368" s="8">
        <v>600</v>
      </c>
      <c r="D368" s="9">
        <v>2600</v>
      </c>
      <c r="E368" s="2" t="s">
        <v>1083</v>
      </c>
      <c r="F368" s="10">
        <v>746.34</v>
      </c>
      <c r="G368" s="11">
        <f>(F_R_Comp)*746.34</f>
        <v>746.34</v>
      </c>
    </row>
    <row r="369" spans="1:7" x14ac:dyDescent="0.2">
      <c r="A369" s="8" t="s">
        <v>1084</v>
      </c>
      <c r="B369" s="8">
        <v>33</v>
      </c>
      <c r="C369" s="8">
        <v>600</v>
      </c>
      <c r="D369" s="9">
        <v>3000</v>
      </c>
      <c r="E369" s="2" t="s">
        <v>1085</v>
      </c>
      <c r="F369" s="10">
        <v>827.05</v>
      </c>
      <c r="G369" s="11">
        <f>(F_R_Comp)*827.05</f>
        <v>827.05</v>
      </c>
    </row>
    <row r="370" spans="1:7" x14ac:dyDescent="0.2">
      <c r="A370" s="8" t="s">
        <v>1086</v>
      </c>
      <c r="B370" s="8">
        <v>33</v>
      </c>
      <c r="C370" s="8">
        <v>900</v>
      </c>
      <c r="D370" s="9">
        <v>400</v>
      </c>
      <c r="E370" s="2" t="s">
        <v>1087</v>
      </c>
      <c r="F370" s="10">
        <v>235.23</v>
      </c>
      <c r="G370" s="11">
        <f>(F_R_Comp)*235.23</f>
        <v>235.23</v>
      </c>
    </row>
    <row r="371" spans="1:7" x14ac:dyDescent="0.2">
      <c r="A371" s="8" t="s">
        <v>1088</v>
      </c>
      <c r="B371" s="8">
        <v>33</v>
      </c>
      <c r="C371" s="8">
        <v>900</v>
      </c>
      <c r="D371" s="9">
        <v>500</v>
      </c>
      <c r="E371" s="2" t="s">
        <v>1089</v>
      </c>
      <c r="F371" s="10">
        <v>266.89999999999998</v>
      </c>
      <c r="G371" s="11">
        <f>(F_R_Comp)*266.9</f>
        <v>266.89999999999998</v>
      </c>
    </row>
    <row r="372" spans="1:7" x14ac:dyDescent="0.2">
      <c r="A372" s="8" t="s">
        <v>1090</v>
      </c>
      <c r="B372" s="8">
        <v>33</v>
      </c>
      <c r="C372" s="8">
        <v>900</v>
      </c>
      <c r="D372" s="9">
        <v>600</v>
      </c>
      <c r="E372" s="2" t="s">
        <v>1091</v>
      </c>
      <c r="F372" s="10">
        <v>302.97000000000003</v>
      </c>
      <c r="G372" s="11">
        <f>(F_R_Comp)*302.97</f>
        <v>302.97000000000003</v>
      </c>
    </row>
    <row r="373" spans="1:7" x14ac:dyDescent="0.2">
      <c r="A373" s="8" t="s">
        <v>1092</v>
      </c>
      <c r="B373" s="8">
        <v>33</v>
      </c>
      <c r="C373" s="8">
        <v>900</v>
      </c>
      <c r="D373" s="9">
        <v>700</v>
      </c>
      <c r="E373" s="2" t="s">
        <v>1093</v>
      </c>
      <c r="F373" s="10">
        <v>343.43</v>
      </c>
      <c r="G373" s="11">
        <f>(F_R_Comp)*343.43</f>
        <v>343.43</v>
      </c>
    </row>
    <row r="374" spans="1:7" x14ac:dyDescent="0.2">
      <c r="A374" s="8" t="s">
        <v>1094</v>
      </c>
      <c r="B374" s="8">
        <v>33</v>
      </c>
      <c r="C374" s="8">
        <v>900</v>
      </c>
      <c r="D374" s="9">
        <v>800</v>
      </c>
      <c r="E374" s="2" t="s">
        <v>1095</v>
      </c>
      <c r="F374" s="10">
        <v>388.47</v>
      </c>
      <c r="G374" s="11">
        <f>(F_R_Comp)*388.47</f>
        <v>388.47</v>
      </c>
    </row>
    <row r="375" spans="1:7" x14ac:dyDescent="0.2">
      <c r="A375" s="8" t="s">
        <v>1096</v>
      </c>
      <c r="B375" s="8">
        <v>33</v>
      </c>
      <c r="C375" s="8">
        <v>900</v>
      </c>
      <c r="D375" s="9">
        <v>900</v>
      </c>
      <c r="E375" s="2" t="s">
        <v>1097</v>
      </c>
      <c r="F375" s="10">
        <v>416.33</v>
      </c>
      <c r="G375" s="11">
        <f>(F_R_Comp)*416.33</f>
        <v>416.33</v>
      </c>
    </row>
    <row r="376" spans="1:7" x14ac:dyDescent="0.2">
      <c r="A376" s="8" t="s">
        <v>1098</v>
      </c>
      <c r="B376" s="8">
        <v>33</v>
      </c>
      <c r="C376" s="8">
        <v>900</v>
      </c>
      <c r="D376" s="9">
        <v>1000</v>
      </c>
      <c r="E376" s="2" t="s">
        <v>1099</v>
      </c>
      <c r="F376" s="10">
        <v>446.04</v>
      </c>
      <c r="G376" s="11">
        <f>(F_R_Comp)*446.04</f>
        <v>446.04</v>
      </c>
    </row>
    <row r="377" spans="1:7" x14ac:dyDescent="0.2">
      <c r="A377" s="8" t="s">
        <v>1100</v>
      </c>
      <c r="B377" s="8">
        <v>33</v>
      </c>
      <c r="C377" s="8">
        <v>900</v>
      </c>
      <c r="D377" s="9">
        <v>1100</v>
      </c>
      <c r="E377" s="2" t="s">
        <v>1101</v>
      </c>
      <c r="F377" s="10">
        <v>477.73</v>
      </c>
      <c r="G377" s="11">
        <f>(F_R_Comp)*477.73</f>
        <v>477.73</v>
      </c>
    </row>
    <row r="378" spans="1:7" x14ac:dyDescent="0.2">
      <c r="A378" s="8" t="s">
        <v>1102</v>
      </c>
      <c r="B378" s="8">
        <v>33</v>
      </c>
      <c r="C378" s="8">
        <v>900</v>
      </c>
      <c r="D378" s="9">
        <v>1200</v>
      </c>
      <c r="E378" s="2" t="s">
        <v>1103</v>
      </c>
      <c r="F378" s="10">
        <v>512</v>
      </c>
      <c r="G378" s="11">
        <f>(F_R_Comp)*512</f>
        <v>512</v>
      </c>
    </row>
    <row r="379" spans="1:7" x14ac:dyDescent="0.2">
      <c r="A379" s="8" t="s">
        <v>1104</v>
      </c>
      <c r="B379" s="8">
        <v>33</v>
      </c>
      <c r="C379" s="8">
        <v>900</v>
      </c>
      <c r="D379" s="9">
        <v>1400</v>
      </c>
      <c r="E379" s="2" t="s">
        <v>1105</v>
      </c>
      <c r="F379" s="10">
        <v>571.15</v>
      </c>
      <c r="G379" s="11">
        <f>(F_R_Comp)*571.15</f>
        <v>571.15</v>
      </c>
    </row>
    <row r="380" spans="1:7" x14ac:dyDescent="0.2">
      <c r="A380" s="8" t="s">
        <v>1106</v>
      </c>
      <c r="B380" s="8">
        <v>33</v>
      </c>
      <c r="C380" s="8">
        <v>900</v>
      </c>
      <c r="D380" s="9">
        <v>1600</v>
      </c>
      <c r="E380" s="2" t="s">
        <v>1107</v>
      </c>
      <c r="F380" s="10">
        <v>628.95000000000005</v>
      </c>
      <c r="G380" s="11">
        <f>(F_R_Comp)*628.95</f>
        <v>628.95000000000005</v>
      </c>
    </row>
    <row r="381" spans="1:7" x14ac:dyDescent="0.2">
      <c r="A381" s="8" t="s">
        <v>1108</v>
      </c>
      <c r="B381" s="8">
        <v>33</v>
      </c>
      <c r="C381" s="8">
        <v>900</v>
      </c>
      <c r="D381" s="9">
        <v>1800</v>
      </c>
      <c r="E381" s="2" t="s">
        <v>1109</v>
      </c>
      <c r="F381" s="10">
        <v>692.74</v>
      </c>
      <c r="G381" s="11">
        <f>(F_R_Comp)*692.74</f>
        <v>692.74</v>
      </c>
    </row>
    <row r="382" spans="1:7" x14ac:dyDescent="0.2">
      <c r="A382" s="8" t="s">
        <v>1110</v>
      </c>
      <c r="B382" s="8">
        <v>33</v>
      </c>
      <c r="C382" s="8">
        <v>900</v>
      </c>
      <c r="D382" s="9">
        <v>2000</v>
      </c>
      <c r="E382" s="2" t="s">
        <v>1111</v>
      </c>
      <c r="F382" s="10">
        <v>748.57</v>
      </c>
      <c r="G382" s="11">
        <f>(F_R_Comp)*748.57</f>
        <v>748.57</v>
      </c>
    </row>
    <row r="383" spans="1:7" x14ac:dyDescent="0.2"/>
    <row r="384" spans="1:7" x14ac:dyDescent="0.2"/>
  </sheetData>
  <autoFilter ref="A10:J382"/>
  <hyperlinks>
    <hyperlink ref="C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7"/>
  <sheetViews>
    <sheetView workbookViewId="0">
      <pane ySplit="11" topLeftCell="A12" activePane="bottomLeft" state="frozen"/>
      <selection activeCell="A2" sqref="A2"/>
      <selection pane="bottomLeft" activeCell="A798" sqref="A798:XFD1048576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85546875" style="2" bestFit="1" customWidth="1"/>
    <col min="4" max="4" width="11.42578125" style="2" customWidth="1"/>
    <col min="5" max="5" width="26" style="2" bestFit="1" customWidth="1"/>
    <col min="6" max="6" width="18.85546875" style="2" bestFit="1" customWidth="1"/>
    <col min="7" max="7" width="21.28515625" style="2" customWidth="1"/>
    <col min="8" max="8" width="8.7109375" style="2" hidden="1" customWidth="1"/>
    <col min="9" max="10" width="10" style="2" hidden="1" customWidth="1"/>
    <col min="11" max="11" width="10" style="2" customWidth="1"/>
    <col min="12" max="12" width="9.140625" style="2" customWidth="1"/>
    <col min="13" max="16" width="0" style="2" hidden="1"/>
    <col min="17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5349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x14ac:dyDescent="0.2"/>
    <row r="10" spans="1:11" ht="21" customHeight="1" x14ac:dyDescent="0.2">
      <c r="A10" s="1" t="s">
        <v>5331</v>
      </c>
      <c r="F10" s="3" t="s">
        <v>5336</v>
      </c>
      <c r="G10" s="4">
        <v>0</v>
      </c>
      <c r="H10" s="5">
        <f>(1-G10)</f>
        <v>1</v>
      </c>
      <c r="I10" s="5"/>
      <c r="J10" s="5"/>
      <c r="K10" s="5"/>
    </row>
    <row r="11" spans="1:11" s="8" customFormat="1" x14ac:dyDescent="0.2">
      <c r="A11" s="6" t="s">
        <v>5326</v>
      </c>
      <c r="B11" s="6" t="s">
        <v>5332</v>
      </c>
      <c r="C11" s="6" t="s">
        <v>5333</v>
      </c>
      <c r="D11" s="6" t="s">
        <v>5334</v>
      </c>
      <c r="E11" s="6" t="s">
        <v>5327</v>
      </c>
      <c r="F11" s="6" t="s">
        <v>5329</v>
      </c>
      <c r="G11" s="7" t="s">
        <v>5330</v>
      </c>
      <c r="I11" s="8" t="s">
        <v>5261</v>
      </c>
      <c r="J11" s="8" t="s">
        <v>5260</v>
      </c>
    </row>
    <row r="12" spans="1:11" x14ac:dyDescent="0.2">
      <c r="A12" s="8" t="s">
        <v>3280</v>
      </c>
      <c r="B12" s="8">
        <v>11</v>
      </c>
      <c r="C12" s="8">
        <v>300</v>
      </c>
      <c r="D12" s="8">
        <v>400</v>
      </c>
      <c r="E12" s="2" t="s">
        <v>3281</v>
      </c>
      <c r="F12" s="10">
        <v>104.12</v>
      </c>
      <c r="G12" s="11">
        <f>(FCV)*104.12</f>
        <v>104.12</v>
      </c>
    </row>
    <row r="13" spans="1:11" x14ac:dyDescent="0.2">
      <c r="A13" s="8" t="s">
        <v>4532</v>
      </c>
      <c r="B13" s="8">
        <v>11</v>
      </c>
      <c r="C13" s="8">
        <v>300</v>
      </c>
      <c r="D13" s="8">
        <v>400</v>
      </c>
      <c r="E13" s="2" t="s">
        <v>4533</v>
      </c>
      <c r="F13" s="10">
        <v>104.12</v>
      </c>
      <c r="G13" s="11">
        <f>(FCV)*104.12</f>
        <v>104.12</v>
      </c>
    </row>
    <row r="14" spans="1:11" x14ac:dyDescent="0.2">
      <c r="A14" s="8" t="s">
        <v>3282</v>
      </c>
      <c r="B14" s="8">
        <v>11</v>
      </c>
      <c r="C14" s="8">
        <v>300</v>
      </c>
      <c r="D14" s="8">
        <v>500</v>
      </c>
      <c r="E14" s="2" t="s">
        <v>3283</v>
      </c>
      <c r="F14" s="10">
        <v>107.94</v>
      </c>
      <c r="G14" s="11">
        <f>(FCV)*107.94</f>
        <v>107.94</v>
      </c>
    </row>
    <row r="15" spans="1:11" x14ac:dyDescent="0.2">
      <c r="A15" s="8" t="s">
        <v>4534</v>
      </c>
      <c r="B15" s="8">
        <v>11</v>
      </c>
      <c r="C15" s="8">
        <v>300</v>
      </c>
      <c r="D15" s="8">
        <v>500</v>
      </c>
      <c r="E15" s="2" t="s">
        <v>4535</v>
      </c>
      <c r="F15" s="10">
        <v>107.94</v>
      </c>
      <c r="G15" s="11">
        <f>(FCV)*107.94</f>
        <v>107.94</v>
      </c>
    </row>
    <row r="16" spans="1:11" x14ac:dyDescent="0.2">
      <c r="A16" s="8" t="s">
        <v>3284</v>
      </c>
      <c r="B16" s="8">
        <v>11</v>
      </c>
      <c r="C16" s="8">
        <v>300</v>
      </c>
      <c r="D16" s="8">
        <v>600</v>
      </c>
      <c r="E16" s="2" t="s">
        <v>3285</v>
      </c>
      <c r="F16" s="10">
        <v>112.11</v>
      </c>
      <c r="G16" s="11">
        <f>(FCV)*112.11</f>
        <v>112.11</v>
      </c>
    </row>
    <row r="17" spans="1:7" x14ac:dyDescent="0.2">
      <c r="A17" s="8" t="s">
        <v>4536</v>
      </c>
      <c r="B17" s="8">
        <v>11</v>
      </c>
      <c r="C17" s="8">
        <v>300</v>
      </c>
      <c r="D17" s="8">
        <v>600</v>
      </c>
      <c r="E17" s="2" t="s">
        <v>4537</v>
      </c>
      <c r="F17" s="10">
        <v>112.11</v>
      </c>
      <c r="G17" s="11">
        <f>(FCV)*112.11</f>
        <v>112.11</v>
      </c>
    </row>
    <row r="18" spans="1:7" x14ac:dyDescent="0.2">
      <c r="A18" s="8" t="s">
        <v>3286</v>
      </c>
      <c r="B18" s="8">
        <v>11</v>
      </c>
      <c r="C18" s="8">
        <v>300</v>
      </c>
      <c r="D18" s="8">
        <v>700</v>
      </c>
      <c r="E18" s="2" t="s">
        <v>3287</v>
      </c>
      <c r="F18" s="10">
        <v>115.3</v>
      </c>
      <c r="G18" s="11">
        <f>(FCV)*115.3</f>
        <v>115.3</v>
      </c>
    </row>
    <row r="19" spans="1:7" x14ac:dyDescent="0.2">
      <c r="A19" s="8" t="s">
        <v>4538</v>
      </c>
      <c r="B19" s="8">
        <v>11</v>
      </c>
      <c r="C19" s="8">
        <v>300</v>
      </c>
      <c r="D19" s="8">
        <v>700</v>
      </c>
      <c r="E19" s="2" t="s">
        <v>4539</v>
      </c>
      <c r="F19" s="10">
        <v>115.3</v>
      </c>
      <c r="G19" s="11">
        <f>(FCV)*115.3</f>
        <v>115.3</v>
      </c>
    </row>
    <row r="20" spans="1:7" x14ac:dyDescent="0.2">
      <c r="A20" s="8" t="s">
        <v>3288</v>
      </c>
      <c r="B20" s="8">
        <v>11</v>
      </c>
      <c r="C20" s="8">
        <v>300</v>
      </c>
      <c r="D20" s="8">
        <v>800</v>
      </c>
      <c r="E20" s="2" t="s">
        <v>3289</v>
      </c>
      <c r="F20" s="10">
        <v>118.85</v>
      </c>
      <c r="G20" s="11">
        <f>(FCV)*118.85</f>
        <v>118.85</v>
      </c>
    </row>
    <row r="21" spans="1:7" x14ac:dyDescent="0.2">
      <c r="A21" s="8" t="s">
        <v>4540</v>
      </c>
      <c r="B21" s="8">
        <v>11</v>
      </c>
      <c r="C21" s="8">
        <v>300</v>
      </c>
      <c r="D21" s="8">
        <v>800</v>
      </c>
      <c r="E21" s="2" t="s">
        <v>4541</v>
      </c>
      <c r="F21" s="10">
        <v>118.85</v>
      </c>
      <c r="G21" s="11">
        <f>(FCV)*118.85</f>
        <v>118.85</v>
      </c>
    </row>
    <row r="22" spans="1:7" x14ac:dyDescent="0.2">
      <c r="A22" s="8" t="s">
        <v>3290</v>
      </c>
      <c r="B22" s="8">
        <v>11</v>
      </c>
      <c r="C22" s="8">
        <v>300</v>
      </c>
      <c r="D22" s="8">
        <v>900</v>
      </c>
      <c r="E22" s="2" t="s">
        <v>3291</v>
      </c>
      <c r="F22" s="10">
        <v>123.94</v>
      </c>
      <c r="G22" s="11">
        <f>(FCV)*123.94</f>
        <v>123.94</v>
      </c>
    </row>
    <row r="23" spans="1:7" x14ac:dyDescent="0.2">
      <c r="A23" s="8" t="s">
        <v>4542</v>
      </c>
      <c r="B23" s="8">
        <v>11</v>
      </c>
      <c r="C23" s="8">
        <v>300</v>
      </c>
      <c r="D23" s="8">
        <v>900</v>
      </c>
      <c r="E23" s="2" t="s">
        <v>4543</v>
      </c>
      <c r="F23" s="10">
        <v>123.94</v>
      </c>
      <c r="G23" s="11">
        <f>(FCV)*123.94</f>
        <v>123.94</v>
      </c>
    </row>
    <row r="24" spans="1:7" x14ac:dyDescent="0.2">
      <c r="A24" s="8" t="s">
        <v>3292</v>
      </c>
      <c r="B24" s="8">
        <v>11</v>
      </c>
      <c r="C24" s="8">
        <v>300</v>
      </c>
      <c r="D24" s="8">
        <v>1000</v>
      </c>
      <c r="E24" s="2" t="s">
        <v>3293</v>
      </c>
      <c r="F24" s="10">
        <v>127.61</v>
      </c>
      <c r="G24" s="11">
        <f>(FCV)*127.61</f>
        <v>127.61</v>
      </c>
    </row>
    <row r="25" spans="1:7" x14ac:dyDescent="0.2">
      <c r="A25" s="8" t="s">
        <v>4544</v>
      </c>
      <c r="B25" s="8">
        <v>11</v>
      </c>
      <c r="C25" s="8">
        <v>300</v>
      </c>
      <c r="D25" s="8">
        <v>1000</v>
      </c>
      <c r="E25" s="2" t="s">
        <v>4545</v>
      </c>
      <c r="F25" s="10">
        <v>127.61</v>
      </c>
      <c r="G25" s="11">
        <f>(FCV)*127.61</f>
        <v>127.61</v>
      </c>
    </row>
    <row r="26" spans="1:7" x14ac:dyDescent="0.2">
      <c r="A26" s="8" t="s">
        <v>3294</v>
      </c>
      <c r="B26" s="8">
        <v>11</v>
      </c>
      <c r="C26" s="8">
        <v>300</v>
      </c>
      <c r="D26" s="8">
        <v>1100</v>
      </c>
      <c r="E26" s="2" t="s">
        <v>3295</v>
      </c>
      <c r="F26" s="10">
        <v>134.99</v>
      </c>
      <c r="G26" s="11">
        <f>(FCV)*134.99</f>
        <v>134.99</v>
      </c>
    </row>
    <row r="27" spans="1:7" x14ac:dyDescent="0.2">
      <c r="A27" s="8" t="s">
        <v>4546</v>
      </c>
      <c r="B27" s="8">
        <v>11</v>
      </c>
      <c r="C27" s="8">
        <v>300</v>
      </c>
      <c r="D27" s="8">
        <v>1100</v>
      </c>
      <c r="E27" s="2" t="s">
        <v>4547</v>
      </c>
      <c r="F27" s="10">
        <v>134.99</v>
      </c>
      <c r="G27" s="11">
        <f>(FCV)*134.99</f>
        <v>134.99</v>
      </c>
    </row>
    <row r="28" spans="1:7" x14ac:dyDescent="0.2">
      <c r="A28" s="8" t="s">
        <v>3296</v>
      </c>
      <c r="B28" s="8">
        <v>11</v>
      </c>
      <c r="C28" s="8">
        <v>300</v>
      </c>
      <c r="D28" s="8">
        <v>1200</v>
      </c>
      <c r="E28" s="2" t="s">
        <v>3297</v>
      </c>
      <c r="F28" s="10">
        <v>140.06</v>
      </c>
      <c r="G28" s="11">
        <f>(FCV)*140.06</f>
        <v>140.06</v>
      </c>
    </row>
    <row r="29" spans="1:7" x14ac:dyDescent="0.2">
      <c r="A29" s="8" t="s">
        <v>4548</v>
      </c>
      <c r="B29" s="8">
        <v>11</v>
      </c>
      <c r="C29" s="8">
        <v>300</v>
      </c>
      <c r="D29" s="8">
        <v>1200</v>
      </c>
      <c r="E29" s="2" t="s">
        <v>4549</v>
      </c>
      <c r="F29" s="10">
        <v>140.06</v>
      </c>
      <c r="G29" s="11">
        <f>(FCV)*140.06</f>
        <v>140.06</v>
      </c>
    </row>
    <row r="30" spans="1:7" x14ac:dyDescent="0.2">
      <c r="A30" s="8" t="s">
        <v>3298</v>
      </c>
      <c r="B30" s="8">
        <v>11</v>
      </c>
      <c r="C30" s="8">
        <v>300</v>
      </c>
      <c r="D30" s="8">
        <v>1400</v>
      </c>
      <c r="E30" s="2" t="s">
        <v>3299</v>
      </c>
      <c r="F30" s="10">
        <v>160.11000000000001</v>
      </c>
      <c r="G30" s="11">
        <f>(FCV)*160.11</f>
        <v>160.11000000000001</v>
      </c>
    </row>
    <row r="31" spans="1:7" x14ac:dyDescent="0.2">
      <c r="A31" s="8" t="s">
        <v>4550</v>
      </c>
      <c r="B31" s="8">
        <v>11</v>
      </c>
      <c r="C31" s="8">
        <v>300</v>
      </c>
      <c r="D31" s="8">
        <v>1400</v>
      </c>
      <c r="E31" s="2" t="s">
        <v>4551</v>
      </c>
      <c r="F31" s="10">
        <v>160.11000000000001</v>
      </c>
      <c r="G31" s="11">
        <f>(FCV)*160.11</f>
        <v>160.11000000000001</v>
      </c>
    </row>
    <row r="32" spans="1:7" x14ac:dyDescent="0.2">
      <c r="A32" s="8" t="s">
        <v>3300</v>
      </c>
      <c r="B32" s="8">
        <v>11</v>
      </c>
      <c r="C32" s="8">
        <v>300</v>
      </c>
      <c r="D32" s="8">
        <v>1600</v>
      </c>
      <c r="E32" s="2" t="s">
        <v>3301</v>
      </c>
      <c r="F32" s="10">
        <v>169.9</v>
      </c>
      <c r="G32" s="11">
        <f>(FCV)*169.9</f>
        <v>169.9</v>
      </c>
    </row>
    <row r="33" spans="1:7" x14ac:dyDescent="0.2">
      <c r="A33" s="8" t="s">
        <v>4552</v>
      </c>
      <c r="B33" s="8">
        <v>11</v>
      </c>
      <c r="C33" s="8">
        <v>300</v>
      </c>
      <c r="D33" s="8">
        <v>1600</v>
      </c>
      <c r="E33" s="2" t="s">
        <v>4553</v>
      </c>
      <c r="F33" s="10">
        <v>169.9</v>
      </c>
      <c r="G33" s="11">
        <f>(FCV)*169.9</f>
        <v>169.9</v>
      </c>
    </row>
    <row r="34" spans="1:7" x14ac:dyDescent="0.2">
      <c r="A34" s="8" t="s">
        <v>3302</v>
      </c>
      <c r="B34" s="8">
        <v>11</v>
      </c>
      <c r="C34" s="8">
        <v>300</v>
      </c>
      <c r="D34" s="8">
        <v>1800</v>
      </c>
      <c r="E34" s="2" t="s">
        <v>3303</v>
      </c>
      <c r="F34" s="10">
        <v>185.78</v>
      </c>
      <c r="G34" s="11">
        <f>(FCV)*185.78</f>
        <v>185.78</v>
      </c>
    </row>
    <row r="35" spans="1:7" x14ac:dyDescent="0.2">
      <c r="A35" s="8" t="s">
        <v>4554</v>
      </c>
      <c r="B35" s="8">
        <v>11</v>
      </c>
      <c r="C35" s="8">
        <v>300</v>
      </c>
      <c r="D35" s="8">
        <v>1800</v>
      </c>
      <c r="E35" s="2" t="s">
        <v>4555</v>
      </c>
      <c r="F35" s="10">
        <v>185.78</v>
      </c>
      <c r="G35" s="11">
        <f>(FCV)*185.78</f>
        <v>185.78</v>
      </c>
    </row>
    <row r="36" spans="1:7" x14ac:dyDescent="0.2">
      <c r="A36" s="8" t="s">
        <v>3304</v>
      </c>
      <c r="B36" s="8">
        <v>11</v>
      </c>
      <c r="C36" s="8">
        <v>300</v>
      </c>
      <c r="D36" s="8">
        <v>2000</v>
      </c>
      <c r="E36" s="2" t="s">
        <v>3305</v>
      </c>
      <c r="F36" s="10">
        <v>195.42</v>
      </c>
      <c r="G36" s="11">
        <f>(FCV)*195.42</f>
        <v>195.42</v>
      </c>
    </row>
    <row r="37" spans="1:7" x14ac:dyDescent="0.2">
      <c r="A37" s="8" t="s">
        <v>4556</v>
      </c>
      <c r="B37" s="8">
        <v>11</v>
      </c>
      <c r="C37" s="8">
        <v>300</v>
      </c>
      <c r="D37" s="8">
        <v>2000</v>
      </c>
      <c r="E37" s="2" t="s">
        <v>4557</v>
      </c>
      <c r="F37" s="10">
        <v>195.42</v>
      </c>
      <c r="G37" s="11">
        <f>(FCV)*195.42</f>
        <v>195.42</v>
      </c>
    </row>
    <row r="38" spans="1:7" x14ac:dyDescent="0.2">
      <c r="A38" s="8" t="s">
        <v>3306</v>
      </c>
      <c r="B38" s="8">
        <v>11</v>
      </c>
      <c r="C38" s="8">
        <v>300</v>
      </c>
      <c r="D38" s="8">
        <v>2300</v>
      </c>
      <c r="E38" s="2" t="s">
        <v>3307</v>
      </c>
      <c r="F38" s="10">
        <v>213.09</v>
      </c>
      <c r="G38" s="11">
        <f>(FCV)*213.09</f>
        <v>213.09</v>
      </c>
    </row>
    <row r="39" spans="1:7" x14ac:dyDescent="0.2">
      <c r="A39" s="8" t="s">
        <v>4558</v>
      </c>
      <c r="B39" s="8">
        <v>11</v>
      </c>
      <c r="C39" s="8">
        <v>300</v>
      </c>
      <c r="D39" s="8">
        <v>2300</v>
      </c>
      <c r="E39" s="2" t="s">
        <v>4559</v>
      </c>
      <c r="F39" s="10">
        <v>213.09</v>
      </c>
      <c r="G39" s="11">
        <f>(FCV)*213.09</f>
        <v>213.09</v>
      </c>
    </row>
    <row r="40" spans="1:7" x14ac:dyDescent="0.2">
      <c r="A40" s="8" t="s">
        <v>3308</v>
      </c>
      <c r="B40" s="8">
        <v>11</v>
      </c>
      <c r="C40" s="8">
        <v>300</v>
      </c>
      <c r="D40" s="8">
        <v>2600</v>
      </c>
      <c r="E40" s="2" t="s">
        <v>3309</v>
      </c>
      <c r="F40" s="10">
        <v>228.19</v>
      </c>
      <c r="G40" s="11">
        <f>(FCV)*228.19</f>
        <v>228.19</v>
      </c>
    </row>
    <row r="41" spans="1:7" x14ac:dyDescent="0.2">
      <c r="A41" s="8" t="s">
        <v>4560</v>
      </c>
      <c r="B41" s="8">
        <v>11</v>
      </c>
      <c r="C41" s="8">
        <v>300</v>
      </c>
      <c r="D41" s="8">
        <v>2600</v>
      </c>
      <c r="E41" s="2" t="s">
        <v>4561</v>
      </c>
      <c r="F41" s="10">
        <v>228.19</v>
      </c>
      <c r="G41" s="11">
        <f>(FCV)*228.19</f>
        <v>228.19</v>
      </c>
    </row>
    <row r="42" spans="1:7" x14ac:dyDescent="0.2">
      <c r="A42" s="8" t="s">
        <v>3310</v>
      </c>
      <c r="B42" s="8">
        <v>11</v>
      </c>
      <c r="C42" s="8">
        <v>300</v>
      </c>
      <c r="D42" s="8">
        <v>3000</v>
      </c>
      <c r="E42" s="2" t="s">
        <v>3311</v>
      </c>
      <c r="F42" s="10">
        <v>256.13</v>
      </c>
      <c r="G42" s="11">
        <f>(FCV)*256.13</f>
        <v>256.13</v>
      </c>
    </row>
    <row r="43" spans="1:7" x14ac:dyDescent="0.2">
      <c r="A43" s="8" t="s">
        <v>4562</v>
      </c>
      <c r="B43" s="8">
        <v>11</v>
      </c>
      <c r="C43" s="8">
        <v>300</v>
      </c>
      <c r="D43" s="8">
        <v>3000</v>
      </c>
      <c r="E43" s="2" t="s">
        <v>4563</v>
      </c>
      <c r="F43" s="10">
        <v>256.13</v>
      </c>
      <c r="G43" s="11">
        <f>(FCV)*256.13</f>
        <v>256.13</v>
      </c>
    </row>
    <row r="44" spans="1:7" x14ac:dyDescent="0.2">
      <c r="A44" s="8" t="s">
        <v>3312</v>
      </c>
      <c r="B44" s="8">
        <v>11</v>
      </c>
      <c r="C44" s="8">
        <v>400</v>
      </c>
      <c r="D44" s="8">
        <v>400</v>
      </c>
      <c r="E44" s="2" t="s">
        <v>3313</v>
      </c>
      <c r="F44" s="10">
        <v>109.19</v>
      </c>
      <c r="G44" s="11">
        <f>(FCV)*109.19</f>
        <v>109.19</v>
      </c>
    </row>
    <row r="45" spans="1:7" x14ac:dyDescent="0.2">
      <c r="A45" s="8" t="s">
        <v>4564</v>
      </c>
      <c r="B45" s="8">
        <v>11</v>
      </c>
      <c r="C45" s="8">
        <v>400</v>
      </c>
      <c r="D45" s="8">
        <v>400</v>
      </c>
      <c r="E45" s="2" t="s">
        <v>4565</v>
      </c>
      <c r="F45" s="10">
        <v>109.19</v>
      </c>
      <c r="G45" s="11">
        <f>(FCV)*109.19</f>
        <v>109.19</v>
      </c>
    </row>
    <row r="46" spans="1:7" x14ac:dyDescent="0.2">
      <c r="A46" s="8" t="s">
        <v>3314</v>
      </c>
      <c r="B46" s="8">
        <v>11</v>
      </c>
      <c r="C46" s="8">
        <v>400</v>
      </c>
      <c r="D46" s="8">
        <v>500</v>
      </c>
      <c r="E46" s="2" t="s">
        <v>3315</v>
      </c>
      <c r="F46" s="10">
        <v>113.4</v>
      </c>
      <c r="G46" s="11">
        <f>(FCV)*113.4</f>
        <v>113.4</v>
      </c>
    </row>
    <row r="47" spans="1:7" x14ac:dyDescent="0.2">
      <c r="A47" s="8" t="s">
        <v>4566</v>
      </c>
      <c r="B47" s="8">
        <v>11</v>
      </c>
      <c r="C47" s="8">
        <v>400</v>
      </c>
      <c r="D47" s="8">
        <v>500</v>
      </c>
      <c r="E47" s="2" t="s">
        <v>4567</v>
      </c>
      <c r="F47" s="10">
        <v>113.4</v>
      </c>
      <c r="G47" s="11">
        <f>(FCV)*113.4</f>
        <v>113.4</v>
      </c>
    </row>
    <row r="48" spans="1:7" x14ac:dyDescent="0.2">
      <c r="A48" s="8" t="s">
        <v>3316</v>
      </c>
      <c r="B48" s="8">
        <v>11</v>
      </c>
      <c r="C48" s="8">
        <v>400</v>
      </c>
      <c r="D48" s="8">
        <v>600</v>
      </c>
      <c r="E48" s="2" t="s">
        <v>3317</v>
      </c>
      <c r="F48" s="10">
        <v>118.85</v>
      </c>
      <c r="G48" s="11">
        <f>(FCV)*118.85</f>
        <v>118.85</v>
      </c>
    </row>
    <row r="49" spans="1:7" x14ac:dyDescent="0.2">
      <c r="A49" s="8" t="s">
        <v>4568</v>
      </c>
      <c r="B49" s="8">
        <v>11</v>
      </c>
      <c r="C49" s="8">
        <v>400</v>
      </c>
      <c r="D49" s="8">
        <v>600</v>
      </c>
      <c r="E49" s="2" t="s">
        <v>4569</v>
      </c>
      <c r="F49" s="10">
        <v>118.85</v>
      </c>
      <c r="G49" s="11">
        <f>(FCV)*118.85</f>
        <v>118.85</v>
      </c>
    </row>
    <row r="50" spans="1:7" x14ac:dyDescent="0.2">
      <c r="A50" s="8" t="s">
        <v>3318</v>
      </c>
      <c r="B50" s="8">
        <v>11</v>
      </c>
      <c r="C50" s="8">
        <v>400</v>
      </c>
      <c r="D50" s="8">
        <v>700</v>
      </c>
      <c r="E50" s="2" t="s">
        <v>3319</v>
      </c>
      <c r="F50" s="10">
        <v>123.82</v>
      </c>
      <c r="G50" s="11">
        <f>(FCV)*123.82</f>
        <v>123.82</v>
      </c>
    </row>
    <row r="51" spans="1:7" x14ac:dyDescent="0.2">
      <c r="A51" s="8" t="s">
        <v>4570</v>
      </c>
      <c r="B51" s="8">
        <v>11</v>
      </c>
      <c r="C51" s="8">
        <v>400</v>
      </c>
      <c r="D51" s="8">
        <v>700</v>
      </c>
      <c r="E51" s="2" t="s">
        <v>4571</v>
      </c>
      <c r="F51" s="10">
        <v>123.82</v>
      </c>
      <c r="G51" s="11">
        <f>(FCV)*123.82</f>
        <v>123.82</v>
      </c>
    </row>
    <row r="52" spans="1:7" x14ac:dyDescent="0.2">
      <c r="A52" s="8" t="s">
        <v>3320</v>
      </c>
      <c r="B52" s="8">
        <v>11</v>
      </c>
      <c r="C52" s="8">
        <v>400</v>
      </c>
      <c r="D52" s="8">
        <v>800</v>
      </c>
      <c r="E52" s="2" t="s">
        <v>3321</v>
      </c>
      <c r="F52" s="10">
        <v>127.61</v>
      </c>
      <c r="G52" s="11">
        <f>(FCV)*127.61</f>
        <v>127.61</v>
      </c>
    </row>
    <row r="53" spans="1:7" x14ac:dyDescent="0.2">
      <c r="A53" s="8" t="s">
        <v>4572</v>
      </c>
      <c r="B53" s="8">
        <v>11</v>
      </c>
      <c r="C53" s="8">
        <v>400</v>
      </c>
      <c r="D53" s="8">
        <v>800</v>
      </c>
      <c r="E53" s="2" t="s">
        <v>4573</v>
      </c>
      <c r="F53" s="10">
        <v>127.61</v>
      </c>
      <c r="G53" s="11">
        <f>(FCV)*127.61</f>
        <v>127.61</v>
      </c>
    </row>
    <row r="54" spans="1:7" x14ac:dyDescent="0.2">
      <c r="A54" s="8" t="s">
        <v>3322</v>
      </c>
      <c r="B54" s="8">
        <v>11</v>
      </c>
      <c r="C54" s="8">
        <v>400</v>
      </c>
      <c r="D54" s="8">
        <v>900</v>
      </c>
      <c r="E54" s="2" t="s">
        <v>3323</v>
      </c>
      <c r="F54" s="10">
        <v>133.97</v>
      </c>
      <c r="G54" s="11">
        <f>(FCV)*133.97</f>
        <v>133.97</v>
      </c>
    </row>
    <row r="55" spans="1:7" x14ac:dyDescent="0.2">
      <c r="A55" s="8" t="s">
        <v>4574</v>
      </c>
      <c r="B55" s="8">
        <v>11</v>
      </c>
      <c r="C55" s="8">
        <v>400</v>
      </c>
      <c r="D55" s="8">
        <v>900</v>
      </c>
      <c r="E55" s="2" t="s">
        <v>4575</v>
      </c>
      <c r="F55" s="10">
        <v>133.97</v>
      </c>
      <c r="G55" s="11">
        <f>(FCV)*133.97</f>
        <v>133.97</v>
      </c>
    </row>
    <row r="56" spans="1:7" x14ac:dyDescent="0.2">
      <c r="A56" s="8" t="s">
        <v>3324</v>
      </c>
      <c r="B56" s="8">
        <v>11</v>
      </c>
      <c r="C56" s="8">
        <v>400</v>
      </c>
      <c r="D56" s="8">
        <v>1000</v>
      </c>
      <c r="E56" s="2" t="s">
        <v>3325</v>
      </c>
      <c r="F56" s="10">
        <v>138.53</v>
      </c>
      <c r="G56" s="11">
        <f>(FCV)*138.53</f>
        <v>138.53</v>
      </c>
    </row>
    <row r="57" spans="1:7" x14ac:dyDescent="0.2">
      <c r="A57" s="8" t="s">
        <v>4576</v>
      </c>
      <c r="B57" s="8">
        <v>11</v>
      </c>
      <c r="C57" s="8">
        <v>400</v>
      </c>
      <c r="D57" s="8">
        <v>1000</v>
      </c>
      <c r="E57" s="2" t="s">
        <v>4577</v>
      </c>
      <c r="F57" s="10">
        <v>138.53</v>
      </c>
      <c r="G57" s="11">
        <f>(FCV)*138.53</f>
        <v>138.53</v>
      </c>
    </row>
    <row r="58" spans="1:7" x14ac:dyDescent="0.2">
      <c r="A58" s="8" t="s">
        <v>3326</v>
      </c>
      <c r="B58" s="8">
        <v>11</v>
      </c>
      <c r="C58" s="8">
        <v>400</v>
      </c>
      <c r="D58" s="8">
        <v>1100</v>
      </c>
      <c r="E58" s="2" t="s">
        <v>3327</v>
      </c>
      <c r="F58" s="10">
        <v>146.79</v>
      </c>
      <c r="G58" s="11">
        <f>(FCV)*146.79</f>
        <v>146.79</v>
      </c>
    </row>
    <row r="59" spans="1:7" x14ac:dyDescent="0.2">
      <c r="A59" s="8" t="s">
        <v>4578</v>
      </c>
      <c r="B59" s="8">
        <v>11</v>
      </c>
      <c r="C59" s="8">
        <v>400</v>
      </c>
      <c r="D59" s="8">
        <v>1100</v>
      </c>
      <c r="E59" s="2" t="s">
        <v>4579</v>
      </c>
      <c r="F59" s="10">
        <v>146.79</v>
      </c>
      <c r="G59" s="11">
        <f>(FCV)*146.79</f>
        <v>146.79</v>
      </c>
    </row>
    <row r="60" spans="1:7" x14ac:dyDescent="0.2">
      <c r="A60" s="8" t="s">
        <v>3328</v>
      </c>
      <c r="B60" s="8">
        <v>11</v>
      </c>
      <c r="C60" s="8">
        <v>400</v>
      </c>
      <c r="D60" s="8">
        <v>1200</v>
      </c>
      <c r="E60" s="2" t="s">
        <v>3329</v>
      </c>
      <c r="F60" s="10">
        <v>153</v>
      </c>
      <c r="G60" s="11">
        <f>(FCV)*153</f>
        <v>153</v>
      </c>
    </row>
    <row r="61" spans="1:7" x14ac:dyDescent="0.2">
      <c r="A61" s="8" t="s">
        <v>4580</v>
      </c>
      <c r="B61" s="8">
        <v>11</v>
      </c>
      <c r="C61" s="8">
        <v>400</v>
      </c>
      <c r="D61" s="8">
        <v>1200</v>
      </c>
      <c r="E61" s="2" t="s">
        <v>4581</v>
      </c>
      <c r="F61" s="10">
        <v>153</v>
      </c>
      <c r="G61" s="11">
        <f>(FCV)*153</f>
        <v>153</v>
      </c>
    </row>
    <row r="62" spans="1:7" x14ac:dyDescent="0.2">
      <c r="A62" s="8" t="s">
        <v>3330</v>
      </c>
      <c r="B62" s="8">
        <v>11</v>
      </c>
      <c r="C62" s="8">
        <v>400</v>
      </c>
      <c r="D62" s="8">
        <v>1400</v>
      </c>
      <c r="E62" s="2" t="s">
        <v>3331</v>
      </c>
      <c r="F62" s="10">
        <v>175.25</v>
      </c>
      <c r="G62" s="11">
        <f>(FCV)*175.25</f>
        <v>175.25</v>
      </c>
    </row>
    <row r="63" spans="1:7" x14ac:dyDescent="0.2">
      <c r="A63" s="8" t="s">
        <v>4582</v>
      </c>
      <c r="B63" s="8">
        <v>11</v>
      </c>
      <c r="C63" s="8">
        <v>400</v>
      </c>
      <c r="D63" s="8">
        <v>1400</v>
      </c>
      <c r="E63" s="2" t="s">
        <v>4583</v>
      </c>
      <c r="F63" s="10">
        <v>175.25</v>
      </c>
      <c r="G63" s="11">
        <f>(FCV)*175.25</f>
        <v>175.25</v>
      </c>
    </row>
    <row r="64" spans="1:7" x14ac:dyDescent="0.2">
      <c r="A64" s="8" t="s">
        <v>3332</v>
      </c>
      <c r="B64" s="8">
        <v>11</v>
      </c>
      <c r="C64" s="8">
        <v>400</v>
      </c>
      <c r="D64" s="8">
        <v>1600</v>
      </c>
      <c r="E64" s="2" t="s">
        <v>3333</v>
      </c>
      <c r="F64" s="10">
        <v>187.04</v>
      </c>
      <c r="G64" s="11">
        <f>(FCV)*187.04</f>
        <v>187.04</v>
      </c>
    </row>
    <row r="65" spans="1:7" x14ac:dyDescent="0.2">
      <c r="A65" s="8" t="s">
        <v>4584</v>
      </c>
      <c r="B65" s="8">
        <v>11</v>
      </c>
      <c r="C65" s="8">
        <v>400</v>
      </c>
      <c r="D65" s="8">
        <v>1600</v>
      </c>
      <c r="E65" s="2" t="s">
        <v>4585</v>
      </c>
      <c r="F65" s="10">
        <v>187.04</v>
      </c>
      <c r="G65" s="11">
        <f>(FCV)*187.04</f>
        <v>187.04</v>
      </c>
    </row>
    <row r="66" spans="1:7" x14ac:dyDescent="0.2">
      <c r="A66" s="8" t="s">
        <v>3334</v>
      </c>
      <c r="B66" s="8">
        <v>11</v>
      </c>
      <c r="C66" s="8">
        <v>400</v>
      </c>
      <c r="D66" s="8">
        <v>1800</v>
      </c>
      <c r="E66" s="2" t="s">
        <v>3335</v>
      </c>
      <c r="F66" s="10">
        <v>204.45</v>
      </c>
      <c r="G66" s="11">
        <f>(FCV)*204.45</f>
        <v>204.45</v>
      </c>
    </row>
    <row r="67" spans="1:7" x14ac:dyDescent="0.2">
      <c r="A67" s="8" t="s">
        <v>4586</v>
      </c>
      <c r="B67" s="8">
        <v>11</v>
      </c>
      <c r="C67" s="8">
        <v>400</v>
      </c>
      <c r="D67" s="8">
        <v>1800</v>
      </c>
      <c r="E67" s="2" t="s">
        <v>4587</v>
      </c>
      <c r="F67" s="10">
        <v>204.45</v>
      </c>
      <c r="G67" s="11">
        <f>(FCV)*204.45</f>
        <v>204.45</v>
      </c>
    </row>
    <row r="68" spans="1:7" x14ac:dyDescent="0.2">
      <c r="A68" s="8" t="s">
        <v>3336</v>
      </c>
      <c r="B68" s="8">
        <v>11</v>
      </c>
      <c r="C68" s="8">
        <v>400</v>
      </c>
      <c r="D68" s="8">
        <v>2000</v>
      </c>
      <c r="E68" s="2" t="s">
        <v>3337</v>
      </c>
      <c r="F68" s="10">
        <v>215.86</v>
      </c>
      <c r="G68" s="11">
        <f>(FCV)*215.86</f>
        <v>215.86</v>
      </c>
    </row>
    <row r="69" spans="1:7" x14ac:dyDescent="0.2">
      <c r="A69" s="8" t="s">
        <v>4588</v>
      </c>
      <c r="B69" s="8">
        <v>11</v>
      </c>
      <c r="C69" s="8">
        <v>400</v>
      </c>
      <c r="D69" s="8">
        <v>2000</v>
      </c>
      <c r="E69" s="2" t="s">
        <v>4589</v>
      </c>
      <c r="F69" s="10">
        <v>215.86</v>
      </c>
      <c r="G69" s="11">
        <f>(FCV)*215.86</f>
        <v>215.86</v>
      </c>
    </row>
    <row r="70" spans="1:7" x14ac:dyDescent="0.2">
      <c r="A70" s="8" t="s">
        <v>3338</v>
      </c>
      <c r="B70" s="8">
        <v>11</v>
      </c>
      <c r="C70" s="8">
        <v>400</v>
      </c>
      <c r="D70" s="8">
        <v>2300</v>
      </c>
      <c r="E70" s="2" t="s">
        <v>3339</v>
      </c>
      <c r="F70" s="10">
        <v>236.81</v>
      </c>
      <c r="G70" s="11">
        <f>(FCV)*236.81</f>
        <v>236.81</v>
      </c>
    </row>
    <row r="71" spans="1:7" x14ac:dyDescent="0.2">
      <c r="A71" s="8" t="s">
        <v>4590</v>
      </c>
      <c r="B71" s="8">
        <v>11</v>
      </c>
      <c r="C71" s="8">
        <v>400</v>
      </c>
      <c r="D71" s="8">
        <v>2300</v>
      </c>
      <c r="E71" s="2" t="s">
        <v>4591</v>
      </c>
      <c r="F71" s="10">
        <v>236.81</v>
      </c>
      <c r="G71" s="11">
        <f>(FCV)*236.81</f>
        <v>236.81</v>
      </c>
    </row>
    <row r="72" spans="1:7" x14ac:dyDescent="0.2">
      <c r="A72" s="8" t="s">
        <v>3340</v>
      </c>
      <c r="B72" s="8">
        <v>11</v>
      </c>
      <c r="C72" s="8">
        <v>400</v>
      </c>
      <c r="D72" s="8">
        <v>2600</v>
      </c>
      <c r="E72" s="2" t="s">
        <v>3341</v>
      </c>
      <c r="F72" s="10">
        <v>257.89</v>
      </c>
      <c r="G72" s="11">
        <f>(FCV)*257.89</f>
        <v>257.89</v>
      </c>
    </row>
    <row r="73" spans="1:7" x14ac:dyDescent="0.2">
      <c r="A73" s="8" t="s">
        <v>4592</v>
      </c>
      <c r="B73" s="8">
        <v>11</v>
      </c>
      <c r="C73" s="8">
        <v>400</v>
      </c>
      <c r="D73" s="8">
        <v>2600</v>
      </c>
      <c r="E73" s="2" t="s">
        <v>4593</v>
      </c>
      <c r="F73" s="10">
        <v>257.89</v>
      </c>
      <c r="G73" s="11">
        <f>(FCV)*257.89</f>
        <v>257.89</v>
      </c>
    </row>
    <row r="74" spans="1:7" x14ac:dyDescent="0.2">
      <c r="A74" s="8" t="s">
        <v>3342</v>
      </c>
      <c r="B74" s="8">
        <v>11</v>
      </c>
      <c r="C74" s="8">
        <v>400</v>
      </c>
      <c r="D74" s="8">
        <v>3000</v>
      </c>
      <c r="E74" s="2" t="s">
        <v>3343</v>
      </c>
      <c r="F74" s="10">
        <v>286.95</v>
      </c>
      <c r="G74" s="11">
        <f>(FCV)*286.95</f>
        <v>286.95</v>
      </c>
    </row>
    <row r="75" spans="1:7" x14ac:dyDescent="0.2">
      <c r="A75" s="8" t="s">
        <v>4594</v>
      </c>
      <c r="B75" s="8">
        <v>11</v>
      </c>
      <c r="C75" s="8">
        <v>400</v>
      </c>
      <c r="D75" s="8">
        <v>3000</v>
      </c>
      <c r="E75" s="2" t="s">
        <v>4595</v>
      </c>
      <c r="F75" s="10">
        <v>286.95</v>
      </c>
      <c r="G75" s="11">
        <f>(FCV)*286.95</f>
        <v>286.95</v>
      </c>
    </row>
    <row r="76" spans="1:7" x14ac:dyDescent="0.2">
      <c r="A76" s="8" t="s">
        <v>3344</v>
      </c>
      <c r="B76" s="8">
        <v>11</v>
      </c>
      <c r="C76" s="8">
        <v>500</v>
      </c>
      <c r="D76" s="8">
        <v>400</v>
      </c>
      <c r="E76" s="2" t="s">
        <v>3345</v>
      </c>
      <c r="F76" s="10">
        <v>110.48</v>
      </c>
      <c r="G76" s="11">
        <f>(FCV)*110.48</f>
        <v>110.48</v>
      </c>
    </row>
    <row r="77" spans="1:7" x14ac:dyDescent="0.2">
      <c r="A77" s="8" t="s">
        <v>4596</v>
      </c>
      <c r="B77" s="8">
        <v>11</v>
      </c>
      <c r="C77" s="8">
        <v>500</v>
      </c>
      <c r="D77" s="8">
        <v>400</v>
      </c>
      <c r="E77" s="2" t="s">
        <v>4597</v>
      </c>
      <c r="F77" s="10">
        <v>110.48</v>
      </c>
      <c r="G77" s="11">
        <f>(FCV)*110.48</f>
        <v>110.48</v>
      </c>
    </row>
    <row r="78" spans="1:7" x14ac:dyDescent="0.2">
      <c r="A78" s="8" t="s">
        <v>3346</v>
      </c>
      <c r="B78" s="8">
        <v>11</v>
      </c>
      <c r="C78" s="8">
        <v>500</v>
      </c>
      <c r="D78" s="8">
        <v>500</v>
      </c>
      <c r="E78" s="2" t="s">
        <v>3347</v>
      </c>
      <c r="F78" s="10">
        <v>116.57</v>
      </c>
      <c r="G78" s="11">
        <f>(FCV)*116.57</f>
        <v>116.57</v>
      </c>
    </row>
    <row r="79" spans="1:7" x14ac:dyDescent="0.2">
      <c r="A79" s="8" t="s">
        <v>4598</v>
      </c>
      <c r="B79" s="8">
        <v>11</v>
      </c>
      <c r="C79" s="8">
        <v>500</v>
      </c>
      <c r="D79" s="8">
        <v>500</v>
      </c>
      <c r="E79" s="2" t="s">
        <v>4599</v>
      </c>
      <c r="F79" s="10">
        <v>116.57</v>
      </c>
      <c r="G79" s="11">
        <f>(FCV)*116.57</f>
        <v>116.57</v>
      </c>
    </row>
    <row r="80" spans="1:7" x14ac:dyDescent="0.2">
      <c r="A80" s="8" t="s">
        <v>3348</v>
      </c>
      <c r="B80" s="8">
        <v>11</v>
      </c>
      <c r="C80" s="8">
        <v>500</v>
      </c>
      <c r="D80" s="8">
        <v>600</v>
      </c>
      <c r="E80" s="2" t="s">
        <v>3349</v>
      </c>
      <c r="F80" s="10">
        <v>123.05</v>
      </c>
      <c r="G80" s="11">
        <f>(FCV)*123.05</f>
        <v>123.05</v>
      </c>
    </row>
    <row r="81" spans="1:7" x14ac:dyDescent="0.2">
      <c r="A81" s="8" t="s">
        <v>4600</v>
      </c>
      <c r="B81" s="8">
        <v>11</v>
      </c>
      <c r="C81" s="8">
        <v>500</v>
      </c>
      <c r="D81" s="8">
        <v>600</v>
      </c>
      <c r="E81" s="2" t="s">
        <v>4601</v>
      </c>
      <c r="F81" s="10">
        <v>123.05</v>
      </c>
      <c r="G81" s="11">
        <f>(FCV)*123.05</f>
        <v>123.05</v>
      </c>
    </row>
    <row r="82" spans="1:7" x14ac:dyDescent="0.2">
      <c r="A82" s="8" t="s">
        <v>3350</v>
      </c>
      <c r="B82" s="8">
        <v>11</v>
      </c>
      <c r="C82" s="8">
        <v>500</v>
      </c>
      <c r="D82" s="8">
        <v>700</v>
      </c>
      <c r="E82" s="2" t="s">
        <v>3351</v>
      </c>
      <c r="F82" s="10">
        <v>130.68</v>
      </c>
      <c r="G82" s="11">
        <f>(FCV)*130.68</f>
        <v>130.68</v>
      </c>
    </row>
    <row r="83" spans="1:7" x14ac:dyDescent="0.2">
      <c r="A83" s="8" t="s">
        <v>4602</v>
      </c>
      <c r="B83" s="8">
        <v>11</v>
      </c>
      <c r="C83" s="8">
        <v>500</v>
      </c>
      <c r="D83" s="8">
        <v>700</v>
      </c>
      <c r="E83" s="2" t="s">
        <v>4603</v>
      </c>
      <c r="F83" s="10">
        <v>130.68</v>
      </c>
      <c r="G83" s="11">
        <f>(FCV)*130.68</f>
        <v>130.68</v>
      </c>
    </row>
    <row r="84" spans="1:7" x14ac:dyDescent="0.2">
      <c r="A84" s="8" t="s">
        <v>3352</v>
      </c>
      <c r="B84" s="8">
        <v>11</v>
      </c>
      <c r="C84" s="8">
        <v>500</v>
      </c>
      <c r="D84" s="8">
        <v>800</v>
      </c>
      <c r="E84" s="2" t="s">
        <v>3353</v>
      </c>
      <c r="F84" s="10">
        <v>135.88</v>
      </c>
      <c r="G84" s="11">
        <f>(FCV)*135.88</f>
        <v>135.88</v>
      </c>
    </row>
    <row r="85" spans="1:7" x14ac:dyDescent="0.2">
      <c r="A85" s="8" t="s">
        <v>4604</v>
      </c>
      <c r="B85" s="8">
        <v>11</v>
      </c>
      <c r="C85" s="8">
        <v>500</v>
      </c>
      <c r="D85" s="8">
        <v>800</v>
      </c>
      <c r="E85" s="2" t="s">
        <v>4605</v>
      </c>
      <c r="F85" s="10">
        <v>135.88</v>
      </c>
      <c r="G85" s="11">
        <f>(FCV)*135.88</f>
        <v>135.88</v>
      </c>
    </row>
    <row r="86" spans="1:7" x14ac:dyDescent="0.2">
      <c r="A86" s="8" t="s">
        <v>3354</v>
      </c>
      <c r="B86" s="8">
        <v>11</v>
      </c>
      <c r="C86" s="8">
        <v>500</v>
      </c>
      <c r="D86" s="8">
        <v>900</v>
      </c>
      <c r="E86" s="2" t="s">
        <v>3355</v>
      </c>
      <c r="F86" s="10">
        <v>142.97999999999999</v>
      </c>
      <c r="G86" s="11">
        <f>(FCV)*142.98</f>
        <v>142.97999999999999</v>
      </c>
    </row>
    <row r="87" spans="1:7" x14ac:dyDescent="0.2">
      <c r="A87" s="8" t="s">
        <v>4606</v>
      </c>
      <c r="B87" s="8">
        <v>11</v>
      </c>
      <c r="C87" s="8">
        <v>500</v>
      </c>
      <c r="D87" s="8">
        <v>900</v>
      </c>
      <c r="E87" s="2" t="s">
        <v>4607</v>
      </c>
      <c r="F87" s="10">
        <v>142.97999999999999</v>
      </c>
      <c r="G87" s="11">
        <f>(FCV)*142.98</f>
        <v>142.97999999999999</v>
      </c>
    </row>
    <row r="88" spans="1:7" x14ac:dyDescent="0.2">
      <c r="A88" s="8" t="s">
        <v>3356</v>
      </c>
      <c r="B88" s="8">
        <v>11</v>
      </c>
      <c r="C88" s="8">
        <v>500</v>
      </c>
      <c r="D88" s="8">
        <v>1000</v>
      </c>
      <c r="E88" s="2" t="s">
        <v>3357</v>
      </c>
      <c r="F88" s="10">
        <v>150.97999999999999</v>
      </c>
      <c r="G88" s="11">
        <f>(FCV)*150.98</f>
        <v>150.97999999999999</v>
      </c>
    </row>
    <row r="89" spans="1:7" x14ac:dyDescent="0.2">
      <c r="A89" s="8" t="s">
        <v>4608</v>
      </c>
      <c r="B89" s="8">
        <v>11</v>
      </c>
      <c r="C89" s="8">
        <v>500</v>
      </c>
      <c r="D89" s="8">
        <v>1000</v>
      </c>
      <c r="E89" s="2" t="s">
        <v>4609</v>
      </c>
      <c r="F89" s="10">
        <v>150.97999999999999</v>
      </c>
      <c r="G89" s="11">
        <f>(FCV)*150.98</f>
        <v>150.97999999999999</v>
      </c>
    </row>
    <row r="90" spans="1:7" x14ac:dyDescent="0.2">
      <c r="A90" s="8" t="s">
        <v>3358</v>
      </c>
      <c r="B90" s="8">
        <v>11</v>
      </c>
      <c r="C90" s="8">
        <v>500</v>
      </c>
      <c r="D90" s="8">
        <v>1100</v>
      </c>
      <c r="E90" s="2" t="s">
        <v>3359</v>
      </c>
      <c r="F90" s="10">
        <v>158.72999999999999</v>
      </c>
      <c r="G90" s="11">
        <f>(FCV)*158.73</f>
        <v>158.72999999999999</v>
      </c>
    </row>
    <row r="91" spans="1:7" x14ac:dyDescent="0.2">
      <c r="A91" s="8" t="s">
        <v>4610</v>
      </c>
      <c r="B91" s="8">
        <v>11</v>
      </c>
      <c r="C91" s="8">
        <v>500</v>
      </c>
      <c r="D91" s="8">
        <v>1100</v>
      </c>
      <c r="E91" s="2" t="s">
        <v>4611</v>
      </c>
      <c r="F91" s="10">
        <v>158.72999999999999</v>
      </c>
      <c r="G91" s="11">
        <f>(FCV)*158.73</f>
        <v>158.72999999999999</v>
      </c>
    </row>
    <row r="92" spans="1:7" x14ac:dyDescent="0.2">
      <c r="A92" s="8" t="s">
        <v>3360</v>
      </c>
      <c r="B92" s="8">
        <v>11</v>
      </c>
      <c r="C92" s="8">
        <v>500</v>
      </c>
      <c r="D92" s="8">
        <v>1200</v>
      </c>
      <c r="E92" s="2" t="s">
        <v>3361</v>
      </c>
      <c r="F92" s="10">
        <v>166.22</v>
      </c>
      <c r="G92" s="11">
        <f>(FCV)*166.22</f>
        <v>166.22</v>
      </c>
    </row>
    <row r="93" spans="1:7" x14ac:dyDescent="0.2">
      <c r="A93" s="8" t="s">
        <v>4612</v>
      </c>
      <c r="B93" s="8">
        <v>11</v>
      </c>
      <c r="C93" s="8">
        <v>500</v>
      </c>
      <c r="D93" s="8">
        <v>1200</v>
      </c>
      <c r="E93" s="2" t="s">
        <v>4613</v>
      </c>
      <c r="F93" s="10">
        <v>166.22</v>
      </c>
      <c r="G93" s="11">
        <f>(FCV)*166.22</f>
        <v>166.22</v>
      </c>
    </row>
    <row r="94" spans="1:7" x14ac:dyDescent="0.2">
      <c r="A94" s="8" t="s">
        <v>3362</v>
      </c>
      <c r="B94" s="8">
        <v>11</v>
      </c>
      <c r="C94" s="8">
        <v>500</v>
      </c>
      <c r="D94" s="8">
        <v>1400</v>
      </c>
      <c r="E94" s="2" t="s">
        <v>3363</v>
      </c>
      <c r="F94" s="10">
        <v>182.21</v>
      </c>
      <c r="G94" s="11">
        <f>(FCV)*182.21</f>
        <v>182.21</v>
      </c>
    </row>
    <row r="95" spans="1:7" x14ac:dyDescent="0.2">
      <c r="A95" s="8" t="s">
        <v>4614</v>
      </c>
      <c r="B95" s="8">
        <v>11</v>
      </c>
      <c r="C95" s="8">
        <v>500</v>
      </c>
      <c r="D95" s="8">
        <v>1400</v>
      </c>
      <c r="E95" s="2" t="s">
        <v>4615</v>
      </c>
      <c r="F95" s="10">
        <v>182.21</v>
      </c>
      <c r="G95" s="11">
        <f>(FCV)*182.21</f>
        <v>182.21</v>
      </c>
    </row>
    <row r="96" spans="1:7" x14ac:dyDescent="0.2">
      <c r="A96" s="8" t="s">
        <v>3364</v>
      </c>
      <c r="B96" s="8">
        <v>11</v>
      </c>
      <c r="C96" s="8">
        <v>500</v>
      </c>
      <c r="D96" s="8">
        <v>1600</v>
      </c>
      <c r="E96" s="2" t="s">
        <v>3365</v>
      </c>
      <c r="F96" s="10">
        <v>198.22</v>
      </c>
      <c r="G96" s="11">
        <f>(FCV)*198.22</f>
        <v>198.22</v>
      </c>
    </row>
    <row r="97" spans="1:7" x14ac:dyDescent="0.2">
      <c r="A97" s="8" t="s">
        <v>4616</v>
      </c>
      <c r="B97" s="8">
        <v>11</v>
      </c>
      <c r="C97" s="8">
        <v>500</v>
      </c>
      <c r="D97" s="8">
        <v>1600</v>
      </c>
      <c r="E97" s="2" t="s">
        <v>4617</v>
      </c>
      <c r="F97" s="10">
        <v>198.22</v>
      </c>
      <c r="G97" s="11">
        <f>(FCV)*198.22</f>
        <v>198.22</v>
      </c>
    </row>
    <row r="98" spans="1:7" x14ac:dyDescent="0.2">
      <c r="A98" s="8" t="s">
        <v>3366</v>
      </c>
      <c r="B98" s="8">
        <v>11</v>
      </c>
      <c r="C98" s="8">
        <v>500</v>
      </c>
      <c r="D98" s="8">
        <v>1800</v>
      </c>
      <c r="E98" s="2" t="s">
        <v>3367</v>
      </c>
      <c r="F98" s="10">
        <v>213.96</v>
      </c>
      <c r="G98" s="11">
        <f>(FCV)*213.96</f>
        <v>213.96</v>
      </c>
    </row>
    <row r="99" spans="1:7" x14ac:dyDescent="0.2">
      <c r="A99" s="8" t="s">
        <v>4618</v>
      </c>
      <c r="B99" s="8">
        <v>11</v>
      </c>
      <c r="C99" s="8">
        <v>500</v>
      </c>
      <c r="D99" s="8">
        <v>1800</v>
      </c>
      <c r="E99" s="2" t="s">
        <v>4619</v>
      </c>
      <c r="F99" s="10">
        <v>213.96</v>
      </c>
      <c r="G99" s="11">
        <f>(FCV)*213.96</f>
        <v>213.96</v>
      </c>
    </row>
    <row r="100" spans="1:7" x14ac:dyDescent="0.2">
      <c r="A100" s="8" t="s">
        <v>3368</v>
      </c>
      <c r="B100" s="8">
        <v>11</v>
      </c>
      <c r="C100" s="8">
        <v>500</v>
      </c>
      <c r="D100" s="8">
        <v>2000</v>
      </c>
      <c r="E100" s="2" t="s">
        <v>3369</v>
      </c>
      <c r="F100" s="10">
        <v>230.73</v>
      </c>
      <c r="G100" s="11">
        <f>(FCV)*230.73</f>
        <v>230.73</v>
      </c>
    </row>
    <row r="101" spans="1:7" x14ac:dyDescent="0.2">
      <c r="A101" s="8" t="s">
        <v>4620</v>
      </c>
      <c r="B101" s="8">
        <v>11</v>
      </c>
      <c r="C101" s="8">
        <v>500</v>
      </c>
      <c r="D101" s="8">
        <v>2000</v>
      </c>
      <c r="E101" s="2" t="s">
        <v>4621</v>
      </c>
      <c r="F101" s="10">
        <v>230.73</v>
      </c>
      <c r="G101" s="11">
        <f>(FCV)*230.73</f>
        <v>230.73</v>
      </c>
    </row>
    <row r="102" spans="1:7" x14ac:dyDescent="0.2">
      <c r="A102" s="8" t="s">
        <v>3370</v>
      </c>
      <c r="B102" s="8">
        <v>11</v>
      </c>
      <c r="C102" s="8">
        <v>500</v>
      </c>
      <c r="D102" s="8">
        <v>2300</v>
      </c>
      <c r="E102" s="2" t="s">
        <v>3371</v>
      </c>
      <c r="F102" s="10">
        <v>254.46</v>
      </c>
      <c r="G102" s="11">
        <f>(FCV)*254.46</f>
        <v>254.46</v>
      </c>
    </row>
    <row r="103" spans="1:7" x14ac:dyDescent="0.2">
      <c r="A103" s="8" t="s">
        <v>4622</v>
      </c>
      <c r="B103" s="8">
        <v>11</v>
      </c>
      <c r="C103" s="8">
        <v>500</v>
      </c>
      <c r="D103" s="8">
        <v>2300</v>
      </c>
      <c r="E103" s="2" t="s">
        <v>4623</v>
      </c>
      <c r="F103" s="10">
        <v>254.46</v>
      </c>
      <c r="G103" s="11">
        <f>(FCV)*254.46</f>
        <v>254.46</v>
      </c>
    </row>
    <row r="104" spans="1:7" x14ac:dyDescent="0.2">
      <c r="A104" s="8" t="s">
        <v>3372</v>
      </c>
      <c r="B104" s="8">
        <v>11</v>
      </c>
      <c r="C104" s="8">
        <v>500</v>
      </c>
      <c r="D104" s="8">
        <v>2600</v>
      </c>
      <c r="E104" s="2" t="s">
        <v>3373</v>
      </c>
      <c r="F104" s="10">
        <v>278.58999999999997</v>
      </c>
      <c r="G104" s="11">
        <f>(FCV)*278.59</f>
        <v>278.58999999999997</v>
      </c>
    </row>
    <row r="105" spans="1:7" x14ac:dyDescent="0.2">
      <c r="A105" s="8" t="s">
        <v>4624</v>
      </c>
      <c r="B105" s="8">
        <v>11</v>
      </c>
      <c r="C105" s="8">
        <v>500</v>
      </c>
      <c r="D105" s="8">
        <v>2600</v>
      </c>
      <c r="E105" s="2" t="s">
        <v>4625</v>
      </c>
      <c r="F105" s="10">
        <v>278.58999999999997</v>
      </c>
      <c r="G105" s="11">
        <f>(FCV)*278.59</f>
        <v>278.58999999999997</v>
      </c>
    </row>
    <row r="106" spans="1:7" x14ac:dyDescent="0.2">
      <c r="A106" s="8" t="s">
        <v>3374</v>
      </c>
      <c r="B106" s="8">
        <v>11</v>
      </c>
      <c r="C106" s="8">
        <v>500</v>
      </c>
      <c r="D106" s="8">
        <v>3000</v>
      </c>
      <c r="E106" s="2" t="s">
        <v>3375</v>
      </c>
      <c r="F106" s="10">
        <v>310.95999999999998</v>
      </c>
      <c r="G106" s="11">
        <f>(FCV)*310.96</f>
        <v>310.95999999999998</v>
      </c>
    </row>
    <row r="107" spans="1:7" x14ac:dyDescent="0.2">
      <c r="A107" s="8" t="s">
        <v>4626</v>
      </c>
      <c r="B107" s="8">
        <v>11</v>
      </c>
      <c r="C107" s="8">
        <v>500</v>
      </c>
      <c r="D107" s="8">
        <v>3000</v>
      </c>
      <c r="E107" s="2" t="s">
        <v>4627</v>
      </c>
      <c r="F107" s="10">
        <v>310.95999999999998</v>
      </c>
      <c r="G107" s="11">
        <f>(FCV)*310.96</f>
        <v>310.95999999999998</v>
      </c>
    </row>
    <row r="108" spans="1:7" x14ac:dyDescent="0.2">
      <c r="A108" s="8" t="s">
        <v>3376</v>
      </c>
      <c r="B108" s="8">
        <v>11</v>
      </c>
      <c r="C108" s="8">
        <v>600</v>
      </c>
      <c r="D108" s="8">
        <v>400</v>
      </c>
      <c r="E108" s="2" t="s">
        <v>3377</v>
      </c>
      <c r="F108" s="10">
        <v>122.8</v>
      </c>
      <c r="G108" s="11">
        <f>(FCV)*122.8</f>
        <v>122.8</v>
      </c>
    </row>
    <row r="109" spans="1:7" x14ac:dyDescent="0.2">
      <c r="A109" s="8" t="s">
        <v>4628</v>
      </c>
      <c r="B109" s="8">
        <v>11</v>
      </c>
      <c r="C109" s="8">
        <v>600</v>
      </c>
      <c r="D109" s="8">
        <v>400</v>
      </c>
      <c r="E109" s="2" t="s">
        <v>4629</v>
      </c>
      <c r="F109" s="10">
        <v>122.8</v>
      </c>
      <c r="G109" s="11">
        <f>(FCV)*122.8</f>
        <v>122.8</v>
      </c>
    </row>
    <row r="110" spans="1:7" x14ac:dyDescent="0.2">
      <c r="A110" s="8" t="s">
        <v>3378</v>
      </c>
      <c r="B110" s="8">
        <v>11</v>
      </c>
      <c r="C110" s="8">
        <v>600</v>
      </c>
      <c r="D110" s="8">
        <v>500</v>
      </c>
      <c r="E110" s="2" t="s">
        <v>3379</v>
      </c>
      <c r="F110" s="10">
        <v>124.98</v>
      </c>
      <c r="G110" s="11">
        <f>(FCV)*124.98</f>
        <v>124.98</v>
      </c>
    </row>
    <row r="111" spans="1:7" x14ac:dyDescent="0.2">
      <c r="A111" s="8" t="s">
        <v>4630</v>
      </c>
      <c r="B111" s="8">
        <v>11</v>
      </c>
      <c r="C111" s="8">
        <v>600</v>
      </c>
      <c r="D111" s="8">
        <v>500</v>
      </c>
      <c r="E111" s="2" t="s">
        <v>4631</v>
      </c>
      <c r="F111" s="10">
        <v>124.98</v>
      </c>
      <c r="G111" s="11">
        <f>(FCV)*124.98</f>
        <v>124.98</v>
      </c>
    </row>
    <row r="112" spans="1:7" x14ac:dyDescent="0.2">
      <c r="A112" s="8" t="s">
        <v>3380</v>
      </c>
      <c r="B112" s="8">
        <v>11</v>
      </c>
      <c r="C112" s="8">
        <v>600</v>
      </c>
      <c r="D112" s="8">
        <v>600</v>
      </c>
      <c r="E112" s="2" t="s">
        <v>3381</v>
      </c>
      <c r="F112" s="10">
        <v>131.71</v>
      </c>
      <c r="G112" s="11">
        <f>(FCV)*131.71</f>
        <v>131.71</v>
      </c>
    </row>
    <row r="113" spans="1:7" x14ac:dyDescent="0.2">
      <c r="A113" s="8" t="s">
        <v>4632</v>
      </c>
      <c r="B113" s="8">
        <v>11</v>
      </c>
      <c r="C113" s="8">
        <v>600</v>
      </c>
      <c r="D113" s="8">
        <v>600</v>
      </c>
      <c r="E113" s="2" t="s">
        <v>4633</v>
      </c>
      <c r="F113" s="10">
        <v>131.71</v>
      </c>
      <c r="G113" s="11">
        <f>(FCV)*131.71</f>
        <v>131.71</v>
      </c>
    </row>
    <row r="114" spans="1:7" x14ac:dyDescent="0.2">
      <c r="A114" s="8" t="s">
        <v>3382</v>
      </c>
      <c r="B114" s="8">
        <v>11</v>
      </c>
      <c r="C114" s="8">
        <v>600</v>
      </c>
      <c r="D114" s="8">
        <v>700</v>
      </c>
      <c r="E114" s="2" t="s">
        <v>3383</v>
      </c>
      <c r="F114" s="10">
        <v>138.54</v>
      </c>
      <c r="G114" s="11">
        <f>(FCV)*138.54</f>
        <v>138.54</v>
      </c>
    </row>
    <row r="115" spans="1:7" x14ac:dyDescent="0.2">
      <c r="A115" s="8" t="s">
        <v>4634</v>
      </c>
      <c r="B115" s="8">
        <v>11</v>
      </c>
      <c r="C115" s="8">
        <v>600</v>
      </c>
      <c r="D115" s="8">
        <v>700</v>
      </c>
      <c r="E115" s="2" t="s">
        <v>4635</v>
      </c>
      <c r="F115" s="10">
        <v>138.54</v>
      </c>
      <c r="G115" s="11">
        <f>(FCV)*138.54</f>
        <v>138.54</v>
      </c>
    </row>
    <row r="116" spans="1:7" x14ac:dyDescent="0.2">
      <c r="A116" s="8" t="s">
        <v>3384</v>
      </c>
      <c r="B116" s="8">
        <v>11</v>
      </c>
      <c r="C116" s="8">
        <v>600</v>
      </c>
      <c r="D116" s="8">
        <v>800</v>
      </c>
      <c r="E116" s="2" t="s">
        <v>3385</v>
      </c>
      <c r="F116" s="10">
        <v>145.13999999999999</v>
      </c>
      <c r="G116" s="11">
        <f>(FCV)*145.14</f>
        <v>145.13999999999999</v>
      </c>
    </row>
    <row r="117" spans="1:7" x14ac:dyDescent="0.2">
      <c r="A117" s="8" t="s">
        <v>4636</v>
      </c>
      <c r="B117" s="8">
        <v>11</v>
      </c>
      <c r="C117" s="8">
        <v>600</v>
      </c>
      <c r="D117" s="8">
        <v>800</v>
      </c>
      <c r="E117" s="2" t="s">
        <v>4637</v>
      </c>
      <c r="F117" s="10">
        <v>145.13999999999999</v>
      </c>
      <c r="G117" s="11">
        <f>(FCV)*145.14</f>
        <v>145.13999999999999</v>
      </c>
    </row>
    <row r="118" spans="1:7" x14ac:dyDescent="0.2">
      <c r="A118" s="8" t="s">
        <v>3386</v>
      </c>
      <c r="B118" s="8">
        <v>11</v>
      </c>
      <c r="C118" s="8">
        <v>600</v>
      </c>
      <c r="D118" s="8">
        <v>900</v>
      </c>
      <c r="E118" s="2" t="s">
        <v>3387</v>
      </c>
      <c r="F118" s="10">
        <v>152.12</v>
      </c>
      <c r="G118" s="11">
        <f>(FCV)*152.12</f>
        <v>152.12</v>
      </c>
    </row>
    <row r="119" spans="1:7" x14ac:dyDescent="0.2">
      <c r="A119" s="8" t="s">
        <v>4638</v>
      </c>
      <c r="B119" s="8">
        <v>11</v>
      </c>
      <c r="C119" s="8">
        <v>600</v>
      </c>
      <c r="D119" s="8">
        <v>900</v>
      </c>
      <c r="E119" s="2" t="s">
        <v>4639</v>
      </c>
      <c r="F119" s="10">
        <v>152.12</v>
      </c>
      <c r="G119" s="11">
        <f>(FCV)*152.12</f>
        <v>152.12</v>
      </c>
    </row>
    <row r="120" spans="1:7" x14ac:dyDescent="0.2">
      <c r="A120" s="8" t="s">
        <v>3388</v>
      </c>
      <c r="B120" s="8">
        <v>11</v>
      </c>
      <c r="C120" s="8">
        <v>600</v>
      </c>
      <c r="D120" s="8">
        <v>1000</v>
      </c>
      <c r="E120" s="2" t="s">
        <v>3389</v>
      </c>
      <c r="F120" s="10">
        <v>159.19</v>
      </c>
      <c r="G120" s="11">
        <f>(FCV)*159.19</f>
        <v>159.19</v>
      </c>
    </row>
    <row r="121" spans="1:7" x14ac:dyDescent="0.2">
      <c r="A121" s="8" t="s">
        <v>4640</v>
      </c>
      <c r="B121" s="8">
        <v>11</v>
      </c>
      <c r="C121" s="8">
        <v>600</v>
      </c>
      <c r="D121" s="8">
        <v>1000</v>
      </c>
      <c r="E121" s="2" t="s">
        <v>4641</v>
      </c>
      <c r="F121" s="10">
        <v>159.19</v>
      </c>
      <c r="G121" s="11">
        <f>(FCV)*159.19</f>
        <v>159.19</v>
      </c>
    </row>
    <row r="122" spans="1:7" x14ac:dyDescent="0.2">
      <c r="A122" s="8" t="s">
        <v>3390</v>
      </c>
      <c r="B122" s="8">
        <v>11</v>
      </c>
      <c r="C122" s="8">
        <v>600</v>
      </c>
      <c r="D122" s="8">
        <v>1100</v>
      </c>
      <c r="E122" s="2" t="s">
        <v>3391</v>
      </c>
      <c r="F122" s="10">
        <v>167.48</v>
      </c>
      <c r="G122" s="11">
        <f>(FCV)*167.48</f>
        <v>167.48</v>
      </c>
    </row>
    <row r="123" spans="1:7" x14ac:dyDescent="0.2">
      <c r="A123" s="8" t="s">
        <v>4642</v>
      </c>
      <c r="B123" s="8">
        <v>11</v>
      </c>
      <c r="C123" s="8">
        <v>600</v>
      </c>
      <c r="D123" s="8">
        <v>1100</v>
      </c>
      <c r="E123" s="2" t="s">
        <v>4643</v>
      </c>
      <c r="F123" s="10">
        <v>167.48</v>
      </c>
      <c r="G123" s="11">
        <f>(FCV)*167.48</f>
        <v>167.48</v>
      </c>
    </row>
    <row r="124" spans="1:7" x14ac:dyDescent="0.2">
      <c r="A124" s="8" t="s">
        <v>3392</v>
      </c>
      <c r="B124" s="8">
        <v>11</v>
      </c>
      <c r="C124" s="8">
        <v>600</v>
      </c>
      <c r="D124" s="8">
        <v>1200</v>
      </c>
      <c r="E124" s="2" t="s">
        <v>3393</v>
      </c>
      <c r="F124" s="10">
        <v>175.97</v>
      </c>
      <c r="G124" s="11">
        <f>(FCV)*175.97</f>
        <v>175.97</v>
      </c>
    </row>
    <row r="125" spans="1:7" x14ac:dyDescent="0.2">
      <c r="A125" s="8" t="s">
        <v>4644</v>
      </c>
      <c r="B125" s="8">
        <v>11</v>
      </c>
      <c r="C125" s="8">
        <v>600</v>
      </c>
      <c r="D125" s="8">
        <v>1200</v>
      </c>
      <c r="E125" s="2" t="s">
        <v>4645</v>
      </c>
      <c r="F125" s="10">
        <v>175.97</v>
      </c>
      <c r="G125" s="11">
        <f>(FCV)*175.97</f>
        <v>175.97</v>
      </c>
    </row>
    <row r="126" spans="1:7" x14ac:dyDescent="0.2">
      <c r="A126" s="8" t="s">
        <v>3394</v>
      </c>
      <c r="B126" s="8">
        <v>11</v>
      </c>
      <c r="C126" s="8">
        <v>600</v>
      </c>
      <c r="D126" s="8">
        <v>1400</v>
      </c>
      <c r="E126" s="2" t="s">
        <v>3395</v>
      </c>
      <c r="F126" s="10">
        <v>193.08</v>
      </c>
      <c r="G126" s="11">
        <f>(FCV)*193.08</f>
        <v>193.08</v>
      </c>
    </row>
    <row r="127" spans="1:7" x14ac:dyDescent="0.2">
      <c r="A127" s="8" t="s">
        <v>4646</v>
      </c>
      <c r="B127" s="8">
        <v>11</v>
      </c>
      <c r="C127" s="8">
        <v>600</v>
      </c>
      <c r="D127" s="8">
        <v>1400</v>
      </c>
      <c r="E127" s="2" t="s">
        <v>4647</v>
      </c>
      <c r="F127" s="10">
        <v>193.08</v>
      </c>
      <c r="G127" s="11">
        <f>(FCV)*193.08</f>
        <v>193.08</v>
      </c>
    </row>
    <row r="128" spans="1:7" x14ac:dyDescent="0.2">
      <c r="A128" s="8" t="s">
        <v>3396</v>
      </c>
      <c r="B128" s="8">
        <v>11</v>
      </c>
      <c r="C128" s="8">
        <v>600</v>
      </c>
      <c r="D128" s="8">
        <v>1600</v>
      </c>
      <c r="E128" s="2" t="s">
        <v>3397</v>
      </c>
      <c r="F128" s="10">
        <v>215.26</v>
      </c>
      <c r="G128" s="11">
        <f>(FCV)*215.26</f>
        <v>215.26</v>
      </c>
    </row>
    <row r="129" spans="1:7" x14ac:dyDescent="0.2">
      <c r="A129" s="8" t="s">
        <v>4648</v>
      </c>
      <c r="B129" s="8">
        <v>11</v>
      </c>
      <c r="C129" s="8">
        <v>600</v>
      </c>
      <c r="D129" s="8">
        <v>1600</v>
      </c>
      <c r="E129" s="2" t="s">
        <v>4649</v>
      </c>
      <c r="F129" s="10">
        <v>215.26</v>
      </c>
      <c r="G129" s="11">
        <f>(FCV)*215.26</f>
        <v>215.26</v>
      </c>
    </row>
    <row r="130" spans="1:7" x14ac:dyDescent="0.2">
      <c r="A130" s="8" t="s">
        <v>3398</v>
      </c>
      <c r="B130" s="8">
        <v>11</v>
      </c>
      <c r="C130" s="8">
        <v>600</v>
      </c>
      <c r="D130" s="8">
        <v>1800</v>
      </c>
      <c r="E130" s="2" t="s">
        <v>3399</v>
      </c>
      <c r="F130" s="10">
        <v>236.89</v>
      </c>
      <c r="G130" s="11">
        <f>(FCV)*236.89</f>
        <v>236.89</v>
      </c>
    </row>
    <row r="131" spans="1:7" x14ac:dyDescent="0.2">
      <c r="A131" s="8" t="s">
        <v>4650</v>
      </c>
      <c r="B131" s="8">
        <v>11</v>
      </c>
      <c r="C131" s="8">
        <v>600</v>
      </c>
      <c r="D131" s="8">
        <v>1800</v>
      </c>
      <c r="E131" s="2" t="s">
        <v>4651</v>
      </c>
      <c r="F131" s="10">
        <v>236.89</v>
      </c>
      <c r="G131" s="11">
        <f>(FCV)*236.89</f>
        <v>236.89</v>
      </c>
    </row>
    <row r="132" spans="1:7" x14ac:dyDescent="0.2">
      <c r="A132" s="8" t="s">
        <v>3400</v>
      </c>
      <c r="B132" s="8">
        <v>11</v>
      </c>
      <c r="C132" s="8">
        <v>600</v>
      </c>
      <c r="D132" s="8">
        <v>2000</v>
      </c>
      <c r="E132" s="2" t="s">
        <v>3401</v>
      </c>
      <c r="F132" s="10">
        <v>252.57</v>
      </c>
      <c r="G132" s="11">
        <f>(FCV)*252.57</f>
        <v>252.57</v>
      </c>
    </row>
    <row r="133" spans="1:7" x14ac:dyDescent="0.2">
      <c r="A133" s="8" t="s">
        <v>4652</v>
      </c>
      <c r="B133" s="8">
        <v>11</v>
      </c>
      <c r="C133" s="8">
        <v>600</v>
      </c>
      <c r="D133" s="8">
        <v>2000</v>
      </c>
      <c r="E133" s="2" t="s">
        <v>4653</v>
      </c>
      <c r="F133" s="10">
        <v>252.57</v>
      </c>
      <c r="G133" s="11">
        <f>(FCV)*252.57</f>
        <v>252.57</v>
      </c>
    </row>
    <row r="134" spans="1:7" x14ac:dyDescent="0.2">
      <c r="A134" s="8" t="s">
        <v>3402</v>
      </c>
      <c r="B134" s="8">
        <v>11</v>
      </c>
      <c r="C134" s="8">
        <v>600</v>
      </c>
      <c r="D134" s="8">
        <v>2300</v>
      </c>
      <c r="E134" s="2" t="s">
        <v>3403</v>
      </c>
      <c r="F134" s="10">
        <v>279.08999999999997</v>
      </c>
      <c r="G134" s="11">
        <f>(FCV)*279.09</f>
        <v>279.08999999999997</v>
      </c>
    </row>
    <row r="135" spans="1:7" x14ac:dyDescent="0.2">
      <c r="A135" s="8" t="s">
        <v>4654</v>
      </c>
      <c r="B135" s="8">
        <v>11</v>
      </c>
      <c r="C135" s="8">
        <v>600</v>
      </c>
      <c r="D135" s="8">
        <v>2300</v>
      </c>
      <c r="E135" s="2" t="s">
        <v>4655</v>
      </c>
      <c r="F135" s="10">
        <v>279.08999999999997</v>
      </c>
      <c r="G135" s="11">
        <f>(FCV)*279.09</f>
        <v>279.08999999999997</v>
      </c>
    </row>
    <row r="136" spans="1:7" x14ac:dyDescent="0.2">
      <c r="A136" s="8" t="s">
        <v>3404</v>
      </c>
      <c r="B136" s="8">
        <v>11</v>
      </c>
      <c r="C136" s="8">
        <v>600</v>
      </c>
      <c r="D136" s="8">
        <v>2600</v>
      </c>
      <c r="E136" s="2" t="s">
        <v>3405</v>
      </c>
      <c r="F136" s="10">
        <v>310.75</v>
      </c>
      <c r="G136" s="11">
        <f>(FCV)*310.75</f>
        <v>310.75</v>
      </c>
    </row>
    <row r="137" spans="1:7" x14ac:dyDescent="0.2">
      <c r="A137" s="8" t="s">
        <v>4656</v>
      </c>
      <c r="B137" s="8">
        <v>11</v>
      </c>
      <c r="C137" s="8">
        <v>600</v>
      </c>
      <c r="D137" s="8">
        <v>2600</v>
      </c>
      <c r="E137" s="2" t="s">
        <v>4657</v>
      </c>
      <c r="F137" s="10">
        <v>310.75</v>
      </c>
      <c r="G137" s="11">
        <f>(FCV)*310.75</f>
        <v>310.75</v>
      </c>
    </row>
    <row r="138" spans="1:7" x14ac:dyDescent="0.2">
      <c r="A138" s="8" t="s">
        <v>3406</v>
      </c>
      <c r="B138" s="8">
        <v>11</v>
      </c>
      <c r="C138" s="8">
        <v>600</v>
      </c>
      <c r="D138" s="8">
        <v>3000</v>
      </c>
      <c r="E138" s="2" t="s">
        <v>3407</v>
      </c>
      <c r="F138" s="10">
        <v>342.44</v>
      </c>
      <c r="G138" s="11">
        <f>(FCV)*342.44</f>
        <v>342.44</v>
      </c>
    </row>
    <row r="139" spans="1:7" x14ac:dyDescent="0.2">
      <c r="A139" s="8" t="s">
        <v>4658</v>
      </c>
      <c r="B139" s="8">
        <v>11</v>
      </c>
      <c r="C139" s="8">
        <v>600</v>
      </c>
      <c r="D139" s="8">
        <v>3000</v>
      </c>
      <c r="E139" s="2" t="s">
        <v>4659</v>
      </c>
      <c r="F139" s="10">
        <v>342.44</v>
      </c>
      <c r="G139" s="11">
        <f>(FCV)*342.44</f>
        <v>342.44</v>
      </c>
    </row>
    <row r="140" spans="1:7" x14ac:dyDescent="0.2">
      <c r="A140" s="8" t="s">
        <v>3408</v>
      </c>
      <c r="B140" s="8">
        <v>11</v>
      </c>
      <c r="C140" s="8">
        <v>900</v>
      </c>
      <c r="D140" s="8">
        <v>400</v>
      </c>
      <c r="E140" s="2" t="s">
        <v>3409</v>
      </c>
      <c r="F140" s="10">
        <v>134.35</v>
      </c>
      <c r="G140" s="11">
        <f>(FCV)*134.35</f>
        <v>134.35</v>
      </c>
    </row>
    <row r="141" spans="1:7" x14ac:dyDescent="0.2">
      <c r="A141" s="8" t="s">
        <v>4660</v>
      </c>
      <c r="B141" s="8">
        <v>11</v>
      </c>
      <c r="C141" s="8">
        <v>900</v>
      </c>
      <c r="D141" s="8">
        <v>400</v>
      </c>
      <c r="E141" s="2" t="s">
        <v>4661</v>
      </c>
      <c r="F141" s="10">
        <v>134.35</v>
      </c>
      <c r="G141" s="11">
        <f>(FCV)*134.35</f>
        <v>134.35</v>
      </c>
    </row>
    <row r="142" spans="1:7" x14ac:dyDescent="0.2">
      <c r="A142" s="8" t="s">
        <v>3410</v>
      </c>
      <c r="B142" s="8">
        <v>11</v>
      </c>
      <c r="C142" s="8">
        <v>900</v>
      </c>
      <c r="D142" s="8">
        <v>500</v>
      </c>
      <c r="E142" s="2" t="s">
        <v>3411</v>
      </c>
      <c r="F142" s="10">
        <v>144.5</v>
      </c>
      <c r="G142" s="11">
        <f>(FCV)*144.5</f>
        <v>144.5</v>
      </c>
    </row>
    <row r="143" spans="1:7" x14ac:dyDescent="0.2">
      <c r="A143" s="8" t="s">
        <v>4662</v>
      </c>
      <c r="B143" s="8">
        <v>11</v>
      </c>
      <c r="C143" s="8">
        <v>900</v>
      </c>
      <c r="D143" s="8">
        <v>500</v>
      </c>
      <c r="E143" s="2" t="s">
        <v>4663</v>
      </c>
      <c r="F143" s="10">
        <v>144.5</v>
      </c>
      <c r="G143" s="11">
        <f>(FCV)*144.5</f>
        <v>144.5</v>
      </c>
    </row>
    <row r="144" spans="1:7" x14ac:dyDescent="0.2">
      <c r="A144" s="8" t="s">
        <v>3412</v>
      </c>
      <c r="B144" s="8">
        <v>11</v>
      </c>
      <c r="C144" s="8">
        <v>900</v>
      </c>
      <c r="D144" s="8">
        <v>600</v>
      </c>
      <c r="E144" s="2" t="s">
        <v>3413</v>
      </c>
      <c r="F144" s="10">
        <v>155.55000000000001</v>
      </c>
      <c r="G144" s="11">
        <f>(FCV)*155.55</f>
        <v>155.55000000000001</v>
      </c>
    </row>
    <row r="145" spans="1:7" x14ac:dyDescent="0.2">
      <c r="A145" s="8" t="s">
        <v>4664</v>
      </c>
      <c r="B145" s="8">
        <v>11</v>
      </c>
      <c r="C145" s="8">
        <v>900</v>
      </c>
      <c r="D145" s="8">
        <v>600</v>
      </c>
      <c r="E145" s="2" t="s">
        <v>4665</v>
      </c>
      <c r="F145" s="10">
        <v>155.55000000000001</v>
      </c>
      <c r="G145" s="11">
        <f>(FCV)*155.55</f>
        <v>155.55000000000001</v>
      </c>
    </row>
    <row r="146" spans="1:7" x14ac:dyDescent="0.2">
      <c r="A146" s="8" t="s">
        <v>3414</v>
      </c>
      <c r="B146" s="8">
        <v>11</v>
      </c>
      <c r="C146" s="8">
        <v>900</v>
      </c>
      <c r="D146" s="8">
        <v>700</v>
      </c>
      <c r="E146" s="2" t="s">
        <v>3415</v>
      </c>
      <c r="F146" s="10">
        <v>165.46</v>
      </c>
      <c r="G146" s="11">
        <f>(FCV)*165.46</f>
        <v>165.46</v>
      </c>
    </row>
    <row r="147" spans="1:7" x14ac:dyDescent="0.2">
      <c r="A147" s="8" t="s">
        <v>4666</v>
      </c>
      <c r="B147" s="8">
        <v>11</v>
      </c>
      <c r="C147" s="8">
        <v>900</v>
      </c>
      <c r="D147" s="8">
        <v>700</v>
      </c>
      <c r="E147" s="2" t="s">
        <v>4667</v>
      </c>
      <c r="F147" s="10">
        <v>165.46</v>
      </c>
      <c r="G147" s="11">
        <f>(FCV)*165.46</f>
        <v>165.46</v>
      </c>
    </row>
    <row r="148" spans="1:7" x14ac:dyDescent="0.2">
      <c r="A148" s="8" t="s">
        <v>3416</v>
      </c>
      <c r="B148" s="8">
        <v>11</v>
      </c>
      <c r="C148" s="8">
        <v>900</v>
      </c>
      <c r="D148" s="8">
        <v>800</v>
      </c>
      <c r="E148" s="2" t="s">
        <v>3417</v>
      </c>
      <c r="F148" s="10">
        <v>175.3</v>
      </c>
      <c r="G148" s="11">
        <f>(FCV)*175.3</f>
        <v>175.3</v>
      </c>
    </row>
    <row r="149" spans="1:7" x14ac:dyDescent="0.2">
      <c r="A149" s="8" t="s">
        <v>4668</v>
      </c>
      <c r="B149" s="8">
        <v>11</v>
      </c>
      <c r="C149" s="8">
        <v>900</v>
      </c>
      <c r="D149" s="8">
        <v>800</v>
      </c>
      <c r="E149" s="2" t="s">
        <v>4669</v>
      </c>
      <c r="F149" s="10">
        <v>175.3</v>
      </c>
      <c r="G149" s="11">
        <f>(FCV)*175.3</f>
        <v>175.3</v>
      </c>
    </row>
    <row r="150" spans="1:7" x14ac:dyDescent="0.2">
      <c r="A150" s="8" t="s">
        <v>3418</v>
      </c>
      <c r="B150" s="8">
        <v>11</v>
      </c>
      <c r="C150" s="8">
        <v>900</v>
      </c>
      <c r="D150" s="8">
        <v>900</v>
      </c>
      <c r="E150" s="2" t="s">
        <v>3419</v>
      </c>
      <c r="F150" s="10">
        <v>184.8</v>
      </c>
      <c r="G150" s="11">
        <f>(FCV)*184.8</f>
        <v>184.8</v>
      </c>
    </row>
    <row r="151" spans="1:7" x14ac:dyDescent="0.2">
      <c r="A151" s="8" t="s">
        <v>4670</v>
      </c>
      <c r="B151" s="8">
        <v>11</v>
      </c>
      <c r="C151" s="8">
        <v>900</v>
      </c>
      <c r="D151" s="8">
        <v>900</v>
      </c>
      <c r="E151" s="2" t="s">
        <v>4671</v>
      </c>
      <c r="F151" s="10">
        <v>184.8</v>
      </c>
      <c r="G151" s="11">
        <f>(FCV)*184.8</f>
        <v>184.8</v>
      </c>
    </row>
    <row r="152" spans="1:7" x14ac:dyDescent="0.2">
      <c r="A152" s="8" t="s">
        <v>3420</v>
      </c>
      <c r="B152" s="8">
        <v>11</v>
      </c>
      <c r="C152" s="8">
        <v>900</v>
      </c>
      <c r="D152" s="8">
        <v>1000</v>
      </c>
      <c r="E152" s="2" t="s">
        <v>3421</v>
      </c>
      <c r="F152" s="10">
        <v>197.59</v>
      </c>
      <c r="G152" s="11">
        <f>(FCV)*197.59</f>
        <v>197.59</v>
      </c>
    </row>
    <row r="153" spans="1:7" x14ac:dyDescent="0.2">
      <c r="A153" s="8" t="s">
        <v>4672</v>
      </c>
      <c r="B153" s="8">
        <v>11</v>
      </c>
      <c r="C153" s="8">
        <v>900</v>
      </c>
      <c r="D153" s="8">
        <v>1000</v>
      </c>
      <c r="E153" s="2" t="s">
        <v>4673</v>
      </c>
      <c r="F153" s="10">
        <v>197.59</v>
      </c>
      <c r="G153" s="11">
        <f>(FCV)*197.59</f>
        <v>197.59</v>
      </c>
    </row>
    <row r="154" spans="1:7" x14ac:dyDescent="0.2">
      <c r="A154" s="8" t="s">
        <v>3422</v>
      </c>
      <c r="B154" s="8">
        <v>11</v>
      </c>
      <c r="C154" s="8">
        <v>900</v>
      </c>
      <c r="D154" s="8">
        <v>1100</v>
      </c>
      <c r="E154" s="2" t="s">
        <v>3423</v>
      </c>
      <c r="F154" s="10">
        <v>210.51</v>
      </c>
      <c r="G154" s="11">
        <f>(FCV)*210.51</f>
        <v>210.51</v>
      </c>
    </row>
    <row r="155" spans="1:7" x14ac:dyDescent="0.2">
      <c r="A155" s="8" t="s">
        <v>4674</v>
      </c>
      <c r="B155" s="8">
        <v>11</v>
      </c>
      <c r="C155" s="8">
        <v>900</v>
      </c>
      <c r="D155" s="8">
        <v>1100</v>
      </c>
      <c r="E155" s="2" t="s">
        <v>4675</v>
      </c>
      <c r="F155" s="10">
        <v>210.51</v>
      </c>
      <c r="G155" s="11">
        <f>(FCV)*210.51</f>
        <v>210.51</v>
      </c>
    </row>
    <row r="156" spans="1:7" x14ac:dyDescent="0.2">
      <c r="A156" s="8" t="s">
        <v>3424</v>
      </c>
      <c r="B156" s="8">
        <v>11</v>
      </c>
      <c r="C156" s="8">
        <v>900</v>
      </c>
      <c r="D156" s="8">
        <v>1200</v>
      </c>
      <c r="E156" s="2" t="s">
        <v>3425</v>
      </c>
      <c r="F156" s="10">
        <v>223.32</v>
      </c>
      <c r="G156" s="11">
        <f>(FCV)*223.32</f>
        <v>223.32</v>
      </c>
    </row>
    <row r="157" spans="1:7" x14ac:dyDescent="0.2">
      <c r="A157" s="8" t="s">
        <v>4676</v>
      </c>
      <c r="B157" s="8">
        <v>11</v>
      </c>
      <c r="C157" s="8">
        <v>900</v>
      </c>
      <c r="D157" s="8">
        <v>1200</v>
      </c>
      <c r="E157" s="2" t="s">
        <v>4677</v>
      </c>
      <c r="F157" s="10">
        <v>223.32</v>
      </c>
      <c r="G157" s="11">
        <f>(FCV)*223.32</f>
        <v>223.32</v>
      </c>
    </row>
    <row r="158" spans="1:7" x14ac:dyDescent="0.2">
      <c r="A158" s="8" t="s">
        <v>3426</v>
      </c>
      <c r="B158" s="8">
        <v>11</v>
      </c>
      <c r="C158" s="8">
        <v>900</v>
      </c>
      <c r="D158" s="8">
        <v>1400</v>
      </c>
      <c r="E158" s="2" t="s">
        <v>3427</v>
      </c>
      <c r="F158" s="10">
        <v>250.26</v>
      </c>
      <c r="G158" s="11">
        <f>(FCV)*250.26</f>
        <v>250.26</v>
      </c>
    </row>
    <row r="159" spans="1:7" x14ac:dyDescent="0.2">
      <c r="A159" s="8" t="s">
        <v>4678</v>
      </c>
      <c r="B159" s="8">
        <v>11</v>
      </c>
      <c r="C159" s="8">
        <v>900</v>
      </c>
      <c r="D159" s="8">
        <v>1400</v>
      </c>
      <c r="E159" s="2" t="s">
        <v>4679</v>
      </c>
      <c r="F159" s="10">
        <v>250.26</v>
      </c>
      <c r="G159" s="11">
        <f>(FCV)*250.26</f>
        <v>250.26</v>
      </c>
    </row>
    <row r="160" spans="1:7" x14ac:dyDescent="0.2">
      <c r="A160" s="8" t="s">
        <v>3428</v>
      </c>
      <c r="B160" s="8">
        <v>11</v>
      </c>
      <c r="C160" s="8">
        <v>900</v>
      </c>
      <c r="D160" s="8">
        <v>1600</v>
      </c>
      <c r="E160" s="2" t="s">
        <v>3429</v>
      </c>
      <c r="F160" s="10">
        <v>276.32</v>
      </c>
      <c r="G160" s="11">
        <f>(FCV)*276.32</f>
        <v>276.32</v>
      </c>
    </row>
    <row r="161" spans="1:7" x14ac:dyDescent="0.2">
      <c r="A161" s="8" t="s">
        <v>4680</v>
      </c>
      <c r="B161" s="8">
        <v>11</v>
      </c>
      <c r="C161" s="8">
        <v>900</v>
      </c>
      <c r="D161" s="8">
        <v>1600</v>
      </c>
      <c r="E161" s="2" t="s">
        <v>4681</v>
      </c>
      <c r="F161" s="10">
        <v>276.32</v>
      </c>
      <c r="G161" s="11">
        <f>(FCV)*276.32</f>
        <v>276.32</v>
      </c>
    </row>
    <row r="162" spans="1:7" x14ac:dyDescent="0.2">
      <c r="A162" s="8" t="s">
        <v>3430</v>
      </c>
      <c r="B162" s="8">
        <v>11</v>
      </c>
      <c r="C162" s="8">
        <v>900</v>
      </c>
      <c r="D162" s="8">
        <v>1800</v>
      </c>
      <c r="E162" s="2" t="s">
        <v>3431</v>
      </c>
      <c r="F162" s="10">
        <v>303.68</v>
      </c>
      <c r="G162" s="11">
        <f>(FCV)*303.68</f>
        <v>303.68</v>
      </c>
    </row>
    <row r="163" spans="1:7" x14ac:dyDescent="0.2">
      <c r="A163" s="8" t="s">
        <v>4682</v>
      </c>
      <c r="B163" s="8">
        <v>11</v>
      </c>
      <c r="C163" s="8">
        <v>900</v>
      </c>
      <c r="D163" s="8">
        <v>1800</v>
      </c>
      <c r="E163" s="2" t="s">
        <v>4683</v>
      </c>
      <c r="F163" s="10">
        <v>303.68</v>
      </c>
      <c r="G163" s="11">
        <f>(FCV)*303.68</f>
        <v>303.68</v>
      </c>
    </row>
    <row r="164" spans="1:7" x14ac:dyDescent="0.2">
      <c r="A164" s="8" t="s">
        <v>3432</v>
      </c>
      <c r="B164" s="8">
        <v>11</v>
      </c>
      <c r="C164" s="8">
        <v>900</v>
      </c>
      <c r="D164" s="8">
        <v>2000</v>
      </c>
      <c r="E164" s="2" t="s">
        <v>3433</v>
      </c>
      <c r="F164" s="10">
        <v>329.73</v>
      </c>
      <c r="G164" s="11">
        <f>(FCV)*329.73</f>
        <v>329.73</v>
      </c>
    </row>
    <row r="165" spans="1:7" x14ac:dyDescent="0.2">
      <c r="A165" s="8" t="s">
        <v>4684</v>
      </c>
      <c r="B165" s="8">
        <v>11</v>
      </c>
      <c r="C165" s="8">
        <v>900</v>
      </c>
      <c r="D165" s="8">
        <v>2000</v>
      </c>
      <c r="E165" s="2" t="s">
        <v>4685</v>
      </c>
      <c r="F165" s="10">
        <v>329.73</v>
      </c>
      <c r="G165" s="11">
        <f>(FCV)*329.73</f>
        <v>329.73</v>
      </c>
    </row>
    <row r="166" spans="1:7" x14ac:dyDescent="0.2">
      <c r="A166" s="8" t="s">
        <v>3434</v>
      </c>
      <c r="B166" s="8">
        <v>21</v>
      </c>
      <c r="C166" s="8">
        <v>200</v>
      </c>
      <c r="D166" s="8">
        <v>600</v>
      </c>
      <c r="E166" s="2" t="s">
        <v>3435</v>
      </c>
      <c r="F166" s="10">
        <v>114.85</v>
      </c>
      <c r="G166" s="11">
        <f>(FCV)*114.85</f>
        <v>114.85</v>
      </c>
    </row>
    <row r="167" spans="1:7" x14ac:dyDescent="0.2">
      <c r="A167" s="8" t="s">
        <v>4686</v>
      </c>
      <c r="B167" s="8">
        <v>21</v>
      </c>
      <c r="C167" s="8">
        <v>200</v>
      </c>
      <c r="D167" s="8">
        <v>600</v>
      </c>
      <c r="E167" s="2" t="s">
        <v>4687</v>
      </c>
      <c r="F167" s="10">
        <v>114.85</v>
      </c>
      <c r="G167" s="11">
        <f>(FCV)*114.85</f>
        <v>114.85</v>
      </c>
    </row>
    <row r="168" spans="1:7" x14ac:dyDescent="0.2">
      <c r="A168" s="8" t="s">
        <v>3436</v>
      </c>
      <c r="B168" s="8">
        <v>21</v>
      </c>
      <c r="C168" s="8">
        <v>200</v>
      </c>
      <c r="D168" s="8">
        <v>700</v>
      </c>
      <c r="E168" s="2" t="s">
        <v>3437</v>
      </c>
      <c r="F168" s="10">
        <v>123.34</v>
      </c>
      <c r="G168" s="11">
        <f>(FCV)*123.34</f>
        <v>123.34</v>
      </c>
    </row>
    <row r="169" spans="1:7" x14ac:dyDescent="0.2">
      <c r="A169" s="8" t="s">
        <v>4688</v>
      </c>
      <c r="B169" s="8">
        <v>21</v>
      </c>
      <c r="C169" s="8">
        <v>200</v>
      </c>
      <c r="D169" s="8">
        <v>700</v>
      </c>
      <c r="E169" s="2" t="s">
        <v>4689</v>
      </c>
      <c r="F169" s="10">
        <v>123.34</v>
      </c>
      <c r="G169" s="11">
        <f>(FCV)*123.34</f>
        <v>123.34</v>
      </c>
    </row>
    <row r="170" spans="1:7" x14ac:dyDescent="0.2">
      <c r="A170" s="8" t="s">
        <v>3438</v>
      </c>
      <c r="B170" s="8">
        <v>21</v>
      </c>
      <c r="C170" s="8">
        <v>200</v>
      </c>
      <c r="D170" s="8">
        <v>800</v>
      </c>
      <c r="E170" s="2" t="s">
        <v>3439</v>
      </c>
      <c r="F170" s="10">
        <v>132.13</v>
      </c>
      <c r="G170" s="11">
        <f>(FCV)*132.13</f>
        <v>132.13</v>
      </c>
    </row>
    <row r="171" spans="1:7" x14ac:dyDescent="0.2">
      <c r="A171" s="8" t="s">
        <v>4690</v>
      </c>
      <c r="B171" s="8">
        <v>21</v>
      </c>
      <c r="C171" s="8">
        <v>200</v>
      </c>
      <c r="D171" s="8">
        <v>800</v>
      </c>
      <c r="E171" s="2" t="s">
        <v>4691</v>
      </c>
      <c r="F171" s="10">
        <v>132.13</v>
      </c>
      <c r="G171" s="11">
        <f>(FCV)*132.13</f>
        <v>132.13</v>
      </c>
    </row>
    <row r="172" spans="1:7" x14ac:dyDescent="0.2">
      <c r="A172" s="8" t="s">
        <v>3440</v>
      </c>
      <c r="B172" s="8">
        <v>21</v>
      </c>
      <c r="C172" s="8">
        <v>200</v>
      </c>
      <c r="D172" s="8">
        <v>900</v>
      </c>
      <c r="E172" s="2" t="s">
        <v>3441</v>
      </c>
      <c r="F172" s="10">
        <v>140.16</v>
      </c>
      <c r="G172" s="11">
        <f>(FCV)*140.16</f>
        <v>140.16</v>
      </c>
    </row>
    <row r="173" spans="1:7" x14ac:dyDescent="0.2">
      <c r="A173" s="8" t="s">
        <v>4692</v>
      </c>
      <c r="B173" s="8">
        <v>21</v>
      </c>
      <c r="C173" s="8">
        <v>200</v>
      </c>
      <c r="D173" s="8">
        <v>900</v>
      </c>
      <c r="E173" s="2" t="s">
        <v>4693</v>
      </c>
      <c r="F173" s="10">
        <v>140.16</v>
      </c>
      <c r="G173" s="11">
        <f>(FCV)*140.16</f>
        <v>140.16</v>
      </c>
    </row>
    <row r="174" spans="1:7" x14ac:dyDescent="0.2">
      <c r="A174" s="8" t="s">
        <v>3442</v>
      </c>
      <c r="B174" s="8">
        <v>21</v>
      </c>
      <c r="C174" s="8">
        <v>200</v>
      </c>
      <c r="D174" s="8">
        <v>1000</v>
      </c>
      <c r="E174" s="2" t="s">
        <v>3443</v>
      </c>
      <c r="F174" s="10">
        <v>148.19</v>
      </c>
      <c r="G174" s="11">
        <f>(FCV)*148.19</f>
        <v>148.19</v>
      </c>
    </row>
    <row r="175" spans="1:7" x14ac:dyDescent="0.2">
      <c r="A175" s="8" t="s">
        <v>4694</v>
      </c>
      <c r="B175" s="8">
        <v>21</v>
      </c>
      <c r="C175" s="8">
        <v>200</v>
      </c>
      <c r="D175" s="8">
        <v>1000</v>
      </c>
      <c r="E175" s="2" t="s">
        <v>4695</v>
      </c>
      <c r="F175" s="10">
        <v>148.19</v>
      </c>
      <c r="G175" s="11">
        <f>(FCV)*148.19</f>
        <v>148.19</v>
      </c>
    </row>
    <row r="176" spans="1:7" x14ac:dyDescent="0.2">
      <c r="A176" s="8" t="s">
        <v>3444</v>
      </c>
      <c r="B176" s="8">
        <v>21</v>
      </c>
      <c r="C176" s="8">
        <v>200</v>
      </c>
      <c r="D176" s="8">
        <v>1100</v>
      </c>
      <c r="E176" s="2" t="s">
        <v>3445</v>
      </c>
      <c r="F176" s="10">
        <v>156.25</v>
      </c>
      <c r="G176" s="11">
        <f>(FCV)*156.25</f>
        <v>156.25</v>
      </c>
    </row>
    <row r="177" spans="1:7" x14ac:dyDescent="0.2">
      <c r="A177" s="8" t="s">
        <v>4696</v>
      </c>
      <c r="B177" s="8">
        <v>21</v>
      </c>
      <c r="C177" s="8">
        <v>200</v>
      </c>
      <c r="D177" s="8">
        <v>1100</v>
      </c>
      <c r="E177" s="2" t="s">
        <v>4697</v>
      </c>
      <c r="F177" s="10">
        <v>156.25</v>
      </c>
      <c r="G177" s="11">
        <f>(FCV)*156.25</f>
        <v>156.25</v>
      </c>
    </row>
    <row r="178" spans="1:7" x14ac:dyDescent="0.2">
      <c r="A178" s="8" t="s">
        <v>3446</v>
      </c>
      <c r="B178" s="8">
        <v>21</v>
      </c>
      <c r="C178" s="8">
        <v>200</v>
      </c>
      <c r="D178" s="8">
        <v>1200</v>
      </c>
      <c r="E178" s="2" t="s">
        <v>3447</v>
      </c>
      <c r="F178" s="10">
        <v>163.96</v>
      </c>
      <c r="G178" s="11">
        <f>(FCV)*163.96</f>
        <v>163.96</v>
      </c>
    </row>
    <row r="179" spans="1:7" x14ac:dyDescent="0.2">
      <c r="A179" s="8" t="s">
        <v>4698</v>
      </c>
      <c r="B179" s="8">
        <v>21</v>
      </c>
      <c r="C179" s="8">
        <v>200</v>
      </c>
      <c r="D179" s="8">
        <v>1200</v>
      </c>
      <c r="E179" s="2" t="s">
        <v>4699</v>
      </c>
      <c r="F179" s="10">
        <v>163.96</v>
      </c>
      <c r="G179" s="11">
        <f>(FCV)*163.96</f>
        <v>163.96</v>
      </c>
    </row>
    <row r="180" spans="1:7" x14ac:dyDescent="0.2">
      <c r="A180" s="8" t="s">
        <v>3448</v>
      </c>
      <c r="B180" s="8">
        <v>21</v>
      </c>
      <c r="C180" s="8">
        <v>200</v>
      </c>
      <c r="D180" s="8">
        <v>1400</v>
      </c>
      <c r="E180" s="2" t="s">
        <v>3449</v>
      </c>
      <c r="F180" s="10">
        <v>179.93</v>
      </c>
      <c r="G180" s="11">
        <f>(FCV)*179.93</f>
        <v>179.93</v>
      </c>
    </row>
    <row r="181" spans="1:7" x14ac:dyDescent="0.2">
      <c r="A181" s="8" t="s">
        <v>4700</v>
      </c>
      <c r="B181" s="8">
        <v>21</v>
      </c>
      <c r="C181" s="8">
        <v>200</v>
      </c>
      <c r="D181" s="8">
        <v>1400</v>
      </c>
      <c r="E181" s="2" t="s">
        <v>4701</v>
      </c>
      <c r="F181" s="10">
        <v>179.93</v>
      </c>
      <c r="G181" s="11">
        <f>(FCV)*179.93</f>
        <v>179.93</v>
      </c>
    </row>
    <row r="182" spans="1:7" x14ac:dyDescent="0.2">
      <c r="A182" s="8" t="s">
        <v>3450</v>
      </c>
      <c r="B182" s="8">
        <v>21</v>
      </c>
      <c r="C182" s="8">
        <v>200</v>
      </c>
      <c r="D182" s="8">
        <v>1600</v>
      </c>
      <c r="E182" s="2" t="s">
        <v>3451</v>
      </c>
      <c r="F182" s="10">
        <v>196.2</v>
      </c>
      <c r="G182" s="11">
        <f>(FCV)*196.2</f>
        <v>196.2</v>
      </c>
    </row>
    <row r="183" spans="1:7" x14ac:dyDescent="0.2">
      <c r="A183" s="8" t="s">
        <v>4702</v>
      </c>
      <c r="B183" s="8">
        <v>21</v>
      </c>
      <c r="C183" s="8">
        <v>200</v>
      </c>
      <c r="D183" s="8">
        <v>1600</v>
      </c>
      <c r="E183" s="2" t="s">
        <v>4703</v>
      </c>
      <c r="F183" s="10">
        <v>196.2</v>
      </c>
      <c r="G183" s="11">
        <f>(FCV)*196.2</f>
        <v>196.2</v>
      </c>
    </row>
    <row r="184" spans="1:7" x14ac:dyDescent="0.2">
      <c r="A184" s="8" t="s">
        <v>3452</v>
      </c>
      <c r="B184" s="8">
        <v>21</v>
      </c>
      <c r="C184" s="8">
        <v>200</v>
      </c>
      <c r="D184" s="8">
        <v>1800</v>
      </c>
      <c r="E184" s="2" t="s">
        <v>3453</v>
      </c>
      <c r="F184" s="10">
        <v>213.27</v>
      </c>
      <c r="G184" s="11">
        <f>(FCV)*213.27</f>
        <v>213.27</v>
      </c>
    </row>
    <row r="185" spans="1:7" x14ac:dyDescent="0.2">
      <c r="A185" s="8" t="s">
        <v>4704</v>
      </c>
      <c r="B185" s="8">
        <v>21</v>
      </c>
      <c r="C185" s="8">
        <v>200</v>
      </c>
      <c r="D185" s="8">
        <v>1800</v>
      </c>
      <c r="E185" s="2" t="s">
        <v>4705</v>
      </c>
      <c r="F185" s="10">
        <v>213.27</v>
      </c>
      <c r="G185" s="11">
        <f>(FCV)*213.27</f>
        <v>213.27</v>
      </c>
    </row>
    <row r="186" spans="1:7" x14ac:dyDescent="0.2">
      <c r="A186" s="8" t="s">
        <v>3454</v>
      </c>
      <c r="B186" s="8">
        <v>21</v>
      </c>
      <c r="C186" s="8">
        <v>200</v>
      </c>
      <c r="D186" s="8">
        <v>2000</v>
      </c>
      <c r="E186" s="2" t="s">
        <v>3455</v>
      </c>
      <c r="F186" s="10">
        <v>228.62</v>
      </c>
      <c r="G186" s="11">
        <f>(FCV)*228.62</f>
        <v>228.62</v>
      </c>
    </row>
    <row r="187" spans="1:7" x14ac:dyDescent="0.2">
      <c r="A187" s="8" t="s">
        <v>4706</v>
      </c>
      <c r="B187" s="8">
        <v>21</v>
      </c>
      <c r="C187" s="8">
        <v>200</v>
      </c>
      <c r="D187" s="8">
        <v>2000</v>
      </c>
      <c r="E187" s="2" t="s">
        <v>4707</v>
      </c>
      <c r="F187" s="10">
        <v>228.62</v>
      </c>
      <c r="G187" s="11">
        <f>(FCV)*228.62</f>
        <v>228.62</v>
      </c>
    </row>
    <row r="188" spans="1:7" x14ac:dyDescent="0.2">
      <c r="A188" s="8" t="s">
        <v>3456</v>
      </c>
      <c r="B188" s="8">
        <v>21</v>
      </c>
      <c r="C188" s="8">
        <v>200</v>
      </c>
      <c r="D188" s="8">
        <v>2300</v>
      </c>
      <c r="E188" s="2" t="s">
        <v>3457</v>
      </c>
      <c r="F188" s="10">
        <v>253.11</v>
      </c>
      <c r="G188" s="11">
        <f>(FCV)*253.11</f>
        <v>253.11</v>
      </c>
    </row>
    <row r="189" spans="1:7" x14ac:dyDescent="0.2">
      <c r="A189" s="8" t="s">
        <v>4708</v>
      </c>
      <c r="B189" s="8">
        <v>21</v>
      </c>
      <c r="C189" s="8">
        <v>200</v>
      </c>
      <c r="D189" s="8">
        <v>2300</v>
      </c>
      <c r="E189" s="2" t="s">
        <v>4709</v>
      </c>
      <c r="F189" s="10">
        <v>253.11</v>
      </c>
      <c r="G189" s="11">
        <f>(FCV)*253.11</f>
        <v>253.11</v>
      </c>
    </row>
    <row r="190" spans="1:7" x14ac:dyDescent="0.2">
      <c r="A190" s="8" t="s">
        <v>3458</v>
      </c>
      <c r="B190" s="8">
        <v>21</v>
      </c>
      <c r="C190" s="8">
        <v>200</v>
      </c>
      <c r="D190" s="8">
        <v>2600</v>
      </c>
      <c r="E190" s="2" t="s">
        <v>3459</v>
      </c>
      <c r="F190" s="10">
        <v>281.54000000000002</v>
      </c>
      <c r="G190" s="11">
        <f>(FCV)*281.54</f>
        <v>281.54000000000002</v>
      </c>
    </row>
    <row r="191" spans="1:7" x14ac:dyDescent="0.2">
      <c r="A191" s="8" t="s">
        <v>4710</v>
      </c>
      <c r="B191" s="8">
        <v>21</v>
      </c>
      <c r="C191" s="8">
        <v>200</v>
      </c>
      <c r="D191" s="8">
        <v>2600</v>
      </c>
      <c r="E191" s="2" t="s">
        <v>4711</v>
      </c>
      <c r="F191" s="10">
        <v>281.54000000000002</v>
      </c>
      <c r="G191" s="11">
        <f>(FCV)*281.54</f>
        <v>281.54000000000002</v>
      </c>
    </row>
    <row r="192" spans="1:7" x14ac:dyDescent="0.2">
      <c r="A192" s="8" t="s">
        <v>3460</v>
      </c>
      <c r="B192" s="8">
        <v>21</v>
      </c>
      <c r="C192" s="8">
        <v>200</v>
      </c>
      <c r="D192" s="8">
        <v>3000</v>
      </c>
      <c r="E192" s="2" t="s">
        <v>3461</v>
      </c>
      <c r="F192" s="10">
        <v>309.76</v>
      </c>
      <c r="G192" s="11">
        <f>(FCV)*309.76</f>
        <v>309.76</v>
      </c>
    </row>
    <row r="193" spans="1:7" x14ac:dyDescent="0.2">
      <c r="A193" s="8" t="s">
        <v>4712</v>
      </c>
      <c r="B193" s="8">
        <v>21</v>
      </c>
      <c r="C193" s="8">
        <v>200</v>
      </c>
      <c r="D193" s="8">
        <v>3000</v>
      </c>
      <c r="E193" s="2" t="s">
        <v>4713</v>
      </c>
      <c r="F193" s="10">
        <v>309.76</v>
      </c>
      <c r="G193" s="11">
        <f>(FCV)*309.76</f>
        <v>309.76</v>
      </c>
    </row>
    <row r="194" spans="1:7" x14ac:dyDescent="0.2">
      <c r="A194" s="8" t="s">
        <v>3462</v>
      </c>
      <c r="B194" s="8">
        <v>21</v>
      </c>
      <c r="C194" s="8">
        <v>900</v>
      </c>
      <c r="D194" s="8">
        <v>400</v>
      </c>
      <c r="E194" s="2" t="s">
        <v>3463</v>
      </c>
      <c r="F194" s="10">
        <v>121.43</v>
      </c>
      <c r="G194" s="11">
        <f>(FCV)*121.43</f>
        <v>121.43</v>
      </c>
    </row>
    <row r="195" spans="1:7" x14ac:dyDescent="0.2">
      <c r="A195" s="8" t="s">
        <v>4714</v>
      </c>
      <c r="B195" s="8">
        <v>21</v>
      </c>
      <c r="C195" s="8">
        <v>300</v>
      </c>
      <c r="D195" s="8">
        <v>400</v>
      </c>
      <c r="E195" s="2" t="s">
        <v>4715</v>
      </c>
      <c r="F195" s="10">
        <v>121.43</v>
      </c>
      <c r="G195" s="11">
        <f>(FCV)*121.43</f>
        <v>121.43</v>
      </c>
    </row>
    <row r="196" spans="1:7" x14ac:dyDescent="0.2">
      <c r="A196" s="8" t="s">
        <v>3464</v>
      </c>
      <c r="B196" s="8">
        <v>21</v>
      </c>
      <c r="C196" s="8">
        <v>300</v>
      </c>
      <c r="D196" s="8">
        <v>500</v>
      </c>
      <c r="E196" s="2" t="s">
        <v>3465</v>
      </c>
      <c r="F196" s="10">
        <v>134.02000000000001</v>
      </c>
      <c r="G196" s="11">
        <f>(FCV)*134.02</f>
        <v>134.02000000000001</v>
      </c>
    </row>
    <row r="197" spans="1:7" x14ac:dyDescent="0.2">
      <c r="A197" s="8" t="s">
        <v>4716</v>
      </c>
      <c r="B197" s="8">
        <v>21</v>
      </c>
      <c r="C197" s="8">
        <v>300</v>
      </c>
      <c r="D197" s="8">
        <v>500</v>
      </c>
      <c r="E197" s="2" t="s">
        <v>4717</v>
      </c>
      <c r="F197" s="10">
        <v>134.02000000000001</v>
      </c>
      <c r="G197" s="11">
        <f>(FCV)*134.02</f>
        <v>134.02000000000001</v>
      </c>
    </row>
    <row r="198" spans="1:7" x14ac:dyDescent="0.2">
      <c r="A198" s="8" t="s">
        <v>3466</v>
      </c>
      <c r="B198" s="8">
        <v>21</v>
      </c>
      <c r="C198" s="8">
        <v>300</v>
      </c>
      <c r="D198" s="8">
        <v>600</v>
      </c>
      <c r="E198" s="2" t="s">
        <v>3467</v>
      </c>
      <c r="F198" s="10">
        <v>144.5</v>
      </c>
      <c r="G198" s="11">
        <f>(FCV)*144.5</f>
        <v>144.5</v>
      </c>
    </row>
    <row r="199" spans="1:7" x14ac:dyDescent="0.2">
      <c r="A199" s="8" t="s">
        <v>4718</v>
      </c>
      <c r="B199" s="8">
        <v>21</v>
      </c>
      <c r="C199" s="8">
        <v>300</v>
      </c>
      <c r="D199" s="8">
        <v>600</v>
      </c>
      <c r="E199" s="2" t="s">
        <v>4719</v>
      </c>
      <c r="F199" s="10">
        <v>144.5</v>
      </c>
      <c r="G199" s="11">
        <f>(FCV)*144.5</f>
        <v>144.5</v>
      </c>
    </row>
    <row r="200" spans="1:7" x14ac:dyDescent="0.2">
      <c r="A200" s="8" t="s">
        <v>3468</v>
      </c>
      <c r="B200" s="8">
        <v>21</v>
      </c>
      <c r="C200" s="8">
        <v>300</v>
      </c>
      <c r="D200" s="8">
        <v>700</v>
      </c>
      <c r="E200" s="2" t="s">
        <v>3469</v>
      </c>
      <c r="F200" s="10">
        <v>154.56</v>
      </c>
      <c r="G200" s="11">
        <f>(FCV)*154.56</f>
        <v>154.56</v>
      </c>
    </row>
    <row r="201" spans="1:7" x14ac:dyDescent="0.2">
      <c r="A201" s="8" t="s">
        <v>4720</v>
      </c>
      <c r="B201" s="8">
        <v>21</v>
      </c>
      <c r="C201" s="8">
        <v>300</v>
      </c>
      <c r="D201" s="8">
        <v>700</v>
      </c>
      <c r="E201" s="2" t="s">
        <v>4721</v>
      </c>
      <c r="F201" s="10">
        <v>154.56</v>
      </c>
      <c r="G201" s="11">
        <f>(FCV)*154.56</f>
        <v>154.56</v>
      </c>
    </row>
    <row r="202" spans="1:7" x14ac:dyDescent="0.2">
      <c r="A202" s="8" t="s">
        <v>3470</v>
      </c>
      <c r="B202" s="8">
        <v>21</v>
      </c>
      <c r="C202" s="8">
        <v>300</v>
      </c>
      <c r="D202" s="8">
        <v>800</v>
      </c>
      <c r="E202" s="2" t="s">
        <v>3471</v>
      </c>
      <c r="F202" s="10">
        <v>164.72</v>
      </c>
      <c r="G202" s="11">
        <f>(FCV)*164.72</f>
        <v>164.72</v>
      </c>
    </row>
    <row r="203" spans="1:7" x14ac:dyDescent="0.2">
      <c r="A203" s="8" t="s">
        <v>4722</v>
      </c>
      <c r="B203" s="8">
        <v>21</v>
      </c>
      <c r="C203" s="8">
        <v>300</v>
      </c>
      <c r="D203" s="8">
        <v>800</v>
      </c>
      <c r="E203" s="2" t="s">
        <v>4723</v>
      </c>
      <c r="F203" s="10">
        <v>164.72</v>
      </c>
      <c r="G203" s="11">
        <f>(FCV)*164.72</f>
        <v>164.72</v>
      </c>
    </row>
    <row r="204" spans="1:7" x14ac:dyDescent="0.2">
      <c r="A204" s="8" t="s">
        <v>3472</v>
      </c>
      <c r="B204" s="8">
        <v>21</v>
      </c>
      <c r="C204" s="8">
        <v>300</v>
      </c>
      <c r="D204" s="8">
        <v>900</v>
      </c>
      <c r="E204" s="2" t="s">
        <v>3473</v>
      </c>
      <c r="F204" s="10">
        <v>174.21</v>
      </c>
      <c r="G204" s="11">
        <f>(FCV)*174.21</f>
        <v>174.21</v>
      </c>
    </row>
    <row r="205" spans="1:7" x14ac:dyDescent="0.2">
      <c r="A205" s="8" t="s">
        <v>4724</v>
      </c>
      <c r="B205" s="8">
        <v>21</v>
      </c>
      <c r="C205" s="8">
        <v>300</v>
      </c>
      <c r="D205" s="8">
        <v>900</v>
      </c>
      <c r="E205" s="2" t="s">
        <v>4725</v>
      </c>
      <c r="F205" s="10">
        <v>174.21</v>
      </c>
      <c r="G205" s="11">
        <f>(FCV)*174.21</f>
        <v>174.21</v>
      </c>
    </row>
    <row r="206" spans="1:7" x14ac:dyDescent="0.2">
      <c r="A206" s="8" t="s">
        <v>3474</v>
      </c>
      <c r="B206" s="8">
        <v>21</v>
      </c>
      <c r="C206" s="8">
        <v>300</v>
      </c>
      <c r="D206" s="8">
        <v>1000</v>
      </c>
      <c r="E206" s="2" t="s">
        <v>3475</v>
      </c>
      <c r="F206" s="10">
        <v>183.47</v>
      </c>
      <c r="G206" s="11">
        <f>(FCV)*183.47</f>
        <v>183.47</v>
      </c>
    </row>
    <row r="207" spans="1:7" x14ac:dyDescent="0.2">
      <c r="A207" s="8" t="s">
        <v>4726</v>
      </c>
      <c r="B207" s="8">
        <v>21</v>
      </c>
      <c r="C207" s="8">
        <v>300</v>
      </c>
      <c r="D207" s="8">
        <v>1000</v>
      </c>
      <c r="E207" s="2" t="s">
        <v>4727</v>
      </c>
      <c r="F207" s="10">
        <v>183.47</v>
      </c>
      <c r="G207" s="11">
        <f>(FCV)*183.47</f>
        <v>183.47</v>
      </c>
    </row>
    <row r="208" spans="1:7" x14ac:dyDescent="0.2">
      <c r="A208" s="8" t="s">
        <v>3476</v>
      </c>
      <c r="B208" s="8">
        <v>21</v>
      </c>
      <c r="C208" s="8">
        <v>300</v>
      </c>
      <c r="D208" s="8">
        <v>1100</v>
      </c>
      <c r="E208" s="2" t="s">
        <v>3477</v>
      </c>
      <c r="F208" s="10">
        <v>192.74</v>
      </c>
      <c r="G208" s="11">
        <f>(FCV)*192.74</f>
        <v>192.74</v>
      </c>
    </row>
    <row r="209" spans="1:7" x14ac:dyDescent="0.2">
      <c r="A209" s="8" t="s">
        <v>4728</v>
      </c>
      <c r="B209" s="8">
        <v>21</v>
      </c>
      <c r="C209" s="8">
        <v>300</v>
      </c>
      <c r="D209" s="8">
        <v>1100</v>
      </c>
      <c r="E209" s="2" t="s">
        <v>4729</v>
      </c>
      <c r="F209" s="10">
        <v>192.74</v>
      </c>
      <c r="G209" s="11">
        <f>(FCV)*192.74</f>
        <v>192.74</v>
      </c>
    </row>
    <row r="210" spans="1:7" x14ac:dyDescent="0.2">
      <c r="A210" s="8" t="s">
        <v>3478</v>
      </c>
      <c r="B210" s="8">
        <v>21</v>
      </c>
      <c r="C210" s="8">
        <v>300</v>
      </c>
      <c r="D210" s="8">
        <v>1200</v>
      </c>
      <c r="E210" s="2" t="s">
        <v>3479</v>
      </c>
      <c r="F210" s="10">
        <v>201.9</v>
      </c>
      <c r="G210" s="11">
        <f>(FCV)*201.9</f>
        <v>201.9</v>
      </c>
    </row>
    <row r="211" spans="1:7" x14ac:dyDescent="0.2">
      <c r="A211" s="8" t="s">
        <v>4730</v>
      </c>
      <c r="B211" s="8">
        <v>21</v>
      </c>
      <c r="C211" s="8">
        <v>300</v>
      </c>
      <c r="D211" s="8">
        <v>1200</v>
      </c>
      <c r="E211" s="2" t="s">
        <v>4731</v>
      </c>
      <c r="F211" s="10">
        <v>201.9</v>
      </c>
      <c r="G211" s="11">
        <f>(FCV)*201.9</f>
        <v>201.9</v>
      </c>
    </row>
    <row r="212" spans="1:7" x14ac:dyDescent="0.2">
      <c r="A212" s="8" t="s">
        <v>3480</v>
      </c>
      <c r="B212" s="8">
        <v>21</v>
      </c>
      <c r="C212" s="8">
        <v>300</v>
      </c>
      <c r="D212" s="8">
        <v>1400</v>
      </c>
      <c r="E212" s="2" t="s">
        <v>3481</v>
      </c>
      <c r="F212" s="10">
        <v>220.45</v>
      </c>
      <c r="G212" s="11">
        <f>(FCV)*220.45</f>
        <v>220.45</v>
      </c>
    </row>
    <row r="213" spans="1:7" x14ac:dyDescent="0.2">
      <c r="A213" s="8" t="s">
        <v>4732</v>
      </c>
      <c r="B213" s="8">
        <v>21</v>
      </c>
      <c r="C213" s="8">
        <v>300</v>
      </c>
      <c r="D213" s="8">
        <v>1400</v>
      </c>
      <c r="E213" s="2" t="s">
        <v>4733</v>
      </c>
      <c r="F213" s="10">
        <v>220.45</v>
      </c>
      <c r="G213" s="11">
        <f>(FCV)*220.45</f>
        <v>220.45</v>
      </c>
    </row>
    <row r="214" spans="1:7" x14ac:dyDescent="0.2">
      <c r="A214" s="8" t="s">
        <v>3482</v>
      </c>
      <c r="B214" s="8">
        <v>21</v>
      </c>
      <c r="C214" s="8">
        <v>300</v>
      </c>
      <c r="D214" s="8">
        <v>1600</v>
      </c>
      <c r="E214" s="2" t="s">
        <v>3483</v>
      </c>
      <c r="F214" s="10">
        <v>239.43</v>
      </c>
      <c r="G214" s="11">
        <f>(FCV)*239.43</f>
        <v>239.43</v>
      </c>
    </row>
    <row r="215" spans="1:7" x14ac:dyDescent="0.2">
      <c r="A215" s="8" t="s">
        <v>4734</v>
      </c>
      <c r="B215" s="8">
        <v>21</v>
      </c>
      <c r="C215" s="8">
        <v>300</v>
      </c>
      <c r="D215" s="8">
        <v>1600</v>
      </c>
      <c r="E215" s="2" t="s">
        <v>4735</v>
      </c>
      <c r="F215" s="10">
        <v>239.43</v>
      </c>
      <c r="G215" s="11">
        <f>(FCV)*239.43</f>
        <v>239.43</v>
      </c>
    </row>
    <row r="216" spans="1:7" x14ac:dyDescent="0.2">
      <c r="A216" s="8" t="s">
        <v>3484</v>
      </c>
      <c r="B216" s="8">
        <v>21</v>
      </c>
      <c r="C216" s="8">
        <v>300</v>
      </c>
      <c r="D216" s="8">
        <v>1800</v>
      </c>
      <c r="E216" s="2" t="s">
        <v>3485</v>
      </c>
      <c r="F216" s="10">
        <v>259.42</v>
      </c>
      <c r="G216" s="11">
        <f>(FCV)*259.42</f>
        <v>259.42</v>
      </c>
    </row>
    <row r="217" spans="1:7" x14ac:dyDescent="0.2">
      <c r="A217" s="8" t="s">
        <v>4736</v>
      </c>
      <c r="B217" s="8">
        <v>21</v>
      </c>
      <c r="C217" s="8">
        <v>300</v>
      </c>
      <c r="D217" s="8">
        <v>1800</v>
      </c>
      <c r="E217" s="2" t="s">
        <v>4737</v>
      </c>
      <c r="F217" s="10">
        <v>259.42</v>
      </c>
      <c r="G217" s="11">
        <f>(FCV)*259.42</f>
        <v>259.42</v>
      </c>
    </row>
    <row r="218" spans="1:7" x14ac:dyDescent="0.2">
      <c r="A218" s="8" t="s">
        <v>3486</v>
      </c>
      <c r="B218" s="8">
        <v>21</v>
      </c>
      <c r="C218" s="8">
        <v>300</v>
      </c>
      <c r="D218" s="8">
        <v>2000</v>
      </c>
      <c r="E218" s="2" t="s">
        <v>3487</v>
      </c>
      <c r="F218" s="10">
        <v>277.2</v>
      </c>
      <c r="G218" s="11">
        <f>(FCV)*277.2</f>
        <v>277.2</v>
      </c>
    </row>
    <row r="219" spans="1:7" x14ac:dyDescent="0.2">
      <c r="A219" s="8" t="s">
        <v>4738</v>
      </c>
      <c r="B219" s="8">
        <v>21</v>
      </c>
      <c r="C219" s="8">
        <v>300</v>
      </c>
      <c r="D219" s="8">
        <v>2000</v>
      </c>
      <c r="E219" s="2" t="s">
        <v>4739</v>
      </c>
      <c r="F219" s="10">
        <v>277.2</v>
      </c>
      <c r="G219" s="11">
        <f>(FCV)*277.2</f>
        <v>277.2</v>
      </c>
    </row>
    <row r="220" spans="1:7" x14ac:dyDescent="0.2">
      <c r="A220" s="8" t="s">
        <v>3488</v>
      </c>
      <c r="B220" s="8">
        <v>21</v>
      </c>
      <c r="C220" s="8">
        <v>300</v>
      </c>
      <c r="D220" s="8">
        <v>2300</v>
      </c>
      <c r="E220" s="2" t="s">
        <v>3489</v>
      </c>
      <c r="F220" s="10">
        <v>305.89</v>
      </c>
      <c r="G220" s="11">
        <f>(FCV)*305.89</f>
        <v>305.89</v>
      </c>
    </row>
    <row r="221" spans="1:7" x14ac:dyDescent="0.2">
      <c r="A221" s="8" t="s">
        <v>4740</v>
      </c>
      <c r="B221" s="8">
        <v>21</v>
      </c>
      <c r="C221" s="8">
        <v>300</v>
      </c>
      <c r="D221" s="8">
        <v>2300</v>
      </c>
      <c r="E221" s="2" t="s">
        <v>4741</v>
      </c>
      <c r="F221" s="10">
        <v>305.89</v>
      </c>
      <c r="G221" s="11">
        <f>(FCV)*305.89</f>
        <v>305.89</v>
      </c>
    </row>
    <row r="222" spans="1:7" x14ac:dyDescent="0.2">
      <c r="A222" s="8" t="s">
        <v>3490</v>
      </c>
      <c r="B222" s="8">
        <v>21</v>
      </c>
      <c r="C222" s="8">
        <v>300</v>
      </c>
      <c r="D222" s="8">
        <v>2600</v>
      </c>
      <c r="E222" s="2" t="s">
        <v>3491</v>
      </c>
      <c r="F222" s="10">
        <v>338.91</v>
      </c>
      <c r="G222" s="11">
        <f>(FCV)*338.91</f>
        <v>338.91</v>
      </c>
    </row>
    <row r="223" spans="1:7" x14ac:dyDescent="0.2">
      <c r="A223" s="8" t="s">
        <v>4742</v>
      </c>
      <c r="B223" s="8">
        <v>21</v>
      </c>
      <c r="C223" s="8">
        <v>300</v>
      </c>
      <c r="D223" s="8">
        <v>2600</v>
      </c>
      <c r="E223" s="2" t="s">
        <v>4743</v>
      </c>
      <c r="F223" s="10">
        <v>338.91</v>
      </c>
      <c r="G223" s="11">
        <f>(FCV)*338.91</f>
        <v>338.91</v>
      </c>
    </row>
    <row r="224" spans="1:7" x14ac:dyDescent="0.2">
      <c r="A224" s="8" t="s">
        <v>3492</v>
      </c>
      <c r="B224" s="8">
        <v>21</v>
      </c>
      <c r="C224" s="8">
        <v>300</v>
      </c>
      <c r="D224" s="8">
        <v>3000</v>
      </c>
      <c r="E224" s="2" t="s">
        <v>3493</v>
      </c>
      <c r="F224" s="10">
        <v>371.92</v>
      </c>
      <c r="G224" s="11">
        <f>(FCV)*371.92</f>
        <v>371.92</v>
      </c>
    </row>
    <row r="225" spans="1:7" x14ac:dyDescent="0.2">
      <c r="A225" s="8" t="s">
        <v>4744</v>
      </c>
      <c r="B225" s="8">
        <v>21</v>
      </c>
      <c r="C225" s="8">
        <v>300</v>
      </c>
      <c r="D225" s="8">
        <v>3000</v>
      </c>
      <c r="E225" s="2" t="s">
        <v>4745</v>
      </c>
      <c r="F225" s="10">
        <v>371.92</v>
      </c>
      <c r="G225" s="11">
        <f>(FCV)*371.92</f>
        <v>371.92</v>
      </c>
    </row>
    <row r="226" spans="1:7" x14ac:dyDescent="0.2">
      <c r="A226" s="8" t="s">
        <v>3494</v>
      </c>
      <c r="B226" s="8">
        <v>21</v>
      </c>
      <c r="C226" s="8">
        <v>400</v>
      </c>
      <c r="D226" s="8">
        <v>400</v>
      </c>
      <c r="E226" s="2" t="s">
        <v>3495</v>
      </c>
      <c r="F226" s="10">
        <v>130.82</v>
      </c>
      <c r="G226" s="11">
        <f>(FCV)*130.82</f>
        <v>130.82</v>
      </c>
    </row>
    <row r="227" spans="1:7" x14ac:dyDescent="0.2">
      <c r="A227" s="8" t="s">
        <v>4746</v>
      </c>
      <c r="B227" s="8">
        <v>21</v>
      </c>
      <c r="C227" s="8">
        <v>400</v>
      </c>
      <c r="D227" s="8">
        <v>400</v>
      </c>
      <c r="E227" s="2" t="s">
        <v>4747</v>
      </c>
      <c r="F227" s="10">
        <v>130.82</v>
      </c>
      <c r="G227" s="11">
        <f>(FCV)*130.82</f>
        <v>130.82</v>
      </c>
    </row>
    <row r="228" spans="1:7" x14ac:dyDescent="0.2">
      <c r="A228" s="8" t="s">
        <v>3496</v>
      </c>
      <c r="B228" s="8">
        <v>21</v>
      </c>
      <c r="C228" s="8">
        <v>400</v>
      </c>
      <c r="D228" s="8">
        <v>500</v>
      </c>
      <c r="E228" s="2" t="s">
        <v>3497</v>
      </c>
      <c r="F228" s="10">
        <v>142.52000000000001</v>
      </c>
      <c r="G228" s="11">
        <f>(FCV)*142.52</f>
        <v>142.52000000000001</v>
      </c>
    </row>
    <row r="229" spans="1:7" x14ac:dyDescent="0.2">
      <c r="A229" s="8" t="s">
        <v>4748</v>
      </c>
      <c r="B229" s="8">
        <v>21</v>
      </c>
      <c r="C229" s="8">
        <v>400</v>
      </c>
      <c r="D229" s="8">
        <v>500</v>
      </c>
      <c r="E229" s="2" t="s">
        <v>4749</v>
      </c>
      <c r="F229" s="10">
        <v>142.52000000000001</v>
      </c>
      <c r="G229" s="11">
        <f>(FCV)*142.52</f>
        <v>142.52000000000001</v>
      </c>
    </row>
    <row r="230" spans="1:7" x14ac:dyDescent="0.2">
      <c r="A230" s="8" t="s">
        <v>3498</v>
      </c>
      <c r="B230" s="8">
        <v>21</v>
      </c>
      <c r="C230" s="8">
        <v>400</v>
      </c>
      <c r="D230" s="8">
        <v>600</v>
      </c>
      <c r="E230" s="2" t="s">
        <v>3499</v>
      </c>
      <c r="F230" s="10">
        <v>153.68</v>
      </c>
      <c r="G230" s="11">
        <f>(FCV)*153.68</f>
        <v>153.68</v>
      </c>
    </row>
    <row r="231" spans="1:7" x14ac:dyDescent="0.2">
      <c r="A231" s="8" t="s">
        <v>4750</v>
      </c>
      <c r="B231" s="8">
        <v>21</v>
      </c>
      <c r="C231" s="8">
        <v>400</v>
      </c>
      <c r="D231" s="8">
        <v>600</v>
      </c>
      <c r="E231" s="2" t="s">
        <v>4751</v>
      </c>
      <c r="F231" s="10">
        <v>153.68</v>
      </c>
      <c r="G231" s="11">
        <f>(FCV)*153.68</f>
        <v>153.68</v>
      </c>
    </row>
    <row r="232" spans="1:7" x14ac:dyDescent="0.2">
      <c r="A232" s="8" t="s">
        <v>3500</v>
      </c>
      <c r="B232" s="8">
        <v>21</v>
      </c>
      <c r="C232" s="8">
        <v>400</v>
      </c>
      <c r="D232" s="8">
        <v>700</v>
      </c>
      <c r="E232" s="2" t="s">
        <v>3501</v>
      </c>
      <c r="F232" s="10">
        <v>165.68</v>
      </c>
      <c r="G232" s="11">
        <f>(FCV)*165.68</f>
        <v>165.68</v>
      </c>
    </row>
    <row r="233" spans="1:7" x14ac:dyDescent="0.2">
      <c r="A233" s="8" t="s">
        <v>4752</v>
      </c>
      <c r="B233" s="8">
        <v>21</v>
      </c>
      <c r="C233" s="8">
        <v>400</v>
      </c>
      <c r="D233" s="8">
        <v>700</v>
      </c>
      <c r="E233" s="2" t="s">
        <v>4753</v>
      </c>
      <c r="F233" s="10">
        <v>165.68</v>
      </c>
      <c r="G233" s="11">
        <f>(FCV)*165.68</f>
        <v>165.68</v>
      </c>
    </row>
    <row r="234" spans="1:7" x14ac:dyDescent="0.2">
      <c r="A234" s="8" t="s">
        <v>3502</v>
      </c>
      <c r="B234" s="8">
        <v>21</v>
      </c>
      <c r="C234" s="8">
        <v>400</v>
      </c>
      <c r="D234" s="8">
        <v>800</v>
      </c>
      <c r="E234" s="2" t="s">
        <v>3503</v>
      </c>
      <c r="F234" s="10">
        <v>177.19</v>
      </c>
      <c r="G234" s="11">
        <f>(FCV)*177.19</f>
        <v>177.19</v>
      </c>
    </row>
    <row r="235" spans="1:7" x14ac:dyDescent="0.2">
      <c r="A235" s="8" t="s">
        <v>4754</v>
      </c>
      <c r="B235" s="8">
        <v>21</v>
      </c>
      <c r="C235" s="8">
        <v>400</v>
      </c>
      <c r="D235" s="8">
        <v>800</v>
      </c>
      <c r="E235" s="2" t="s">
        <v>4755</v>
      </c>
      <c r="F235" s="10">
        <v>177.19</v>
      </c>
      <c r="G235" s="11">
        <f>(FCV)*177.19</f>
        <v>177.19</v>
      </c>
    </row>
    <row r="236" spans="1:7" x14ac:dyDescent="0.2">
      <c r="A236" s="8" t="s">
        <v>3504</v>
      </c>
      <c r="B236" s="8">
        <v>21</v>
      </c>
      <c r="C236" s="8">
        <v>400</v>
      </c>
      <c r="D236" s="8">
        <v>900</v>
      </c>
      <c r="E236" s="2" t="s">
        <v>3505</v>
      </c>
      <c r="F236" s="10">
        <v>188.44</v>
      </c>
      <c r="G236" s="11">
        <f>(FCV)*188.44</f>
        <v>188.44</v>
      </c>
    </row>
    <row r="237" spans="1:7" x14ac:dyDescent="0.2">
      <c r="A237" s="8" t="s">
        <v>4756</v>
      </c>
      <c r="B237" s="8">
        <v>21</v>
      </c>
      <c r="C237" s="8">
        <v>400</v>
      </c>
      <c r="D237" s="8">
        <v>900</v>
      </c>
      <c r="E237" s="2" t="s">
        <v>4757</v>
      </c>
      <c r="F237" s="10">
        <v>188.44</v>
      </c>
      <c r="G237" s="11">
        <f>(FCV)*188.44</f>
        <v>188.44</v>
      </c>
    </row>
    <row r="238" spans="1:7" x14ac:dyDescent="0.2">
      <c r="A238" s="8" t="s">
        <v>3506</v>
      </c>
      <c r="B238" s="8">
        <v>21</v>
      </c>
      <c r="C238" s="8">
        <v>400</v>
      </c>
      <c r="D238" s="8">
        <v>1000</v>
      </c>
      <c r="E238" s="2" t="s">
        <v>3507</v>
      </c>
      <c r="F238" s="10">
        <v>199.59</v>
      </c>
      <c r="G238" s="11">
        <f>(FCV)*199.59</f>
        <v>199.59</v>
      </c>
    </row>
    <row r="239" spans="1:7" x14ac:dyDescent="0.2">
      <c r="A239" s="8" t="s">
        <v>4758</v>
      </c>
      <c r="B239" s="8">
        <v>21</v>
      </c>
      <c r="C239" s="8">
        <v>400</v>
      </c>
      <c r="D239" s="8">
        <v>1000</v>
      </c>
      <c r="E239" s="2" t="s">
        <v>4759</v>
      </c>
      <c r="F239" s="10">
        <v>199.59</v>
      </c>
      <c r="G239" s="11">
        <f>(FCV)*199.59</f>
        <v>199.59</v>
      </c>
    </row>
    <row r="240" spans="1:7" x14ac:dyDescent="0.2">
      <c r="A240" s="8" t="s">
        <v>3508</v>
      </c>
      <c r="B240" s="8">
        <v>21</v>
      </c>
      <c r="C240" s="8">
        <v>400</v>
      </c>
      <c r="D240" s="8">
        <v>1100</v>
      </c>
      <c r="E240" s="2" t="s">
        <v>3509</v>
      </c>
      <c r="F240" s="10">
        <v>211.94</v>
      </c>
      <c r="G240" s="11">
        <f>(FCV)*211.94</f>
        <v>211.94</v>
      </c>
    </row>
    <row r="241" spans="1:7" x14ac:dyDescent="0.2">
      <c r="A241" s="8" t="s">
        <v>4760</v>
      </c>
      <c r="B241" s="8">
        <v>21</v>
      </c>
      <c r="C241" s="8">
        <v>400</v>
      </c>
      <c r="D241" s="8">
        <v>1100</v>
      </c>
      <c r="E241" s="2" t="s">
        <v>4761</v>
      </c>
      <c r="F241" s="10">
        <v>211.94</v>
      </c>
      <c r="G241" s="11">
        <f>(FCV)*211.94</f>
        <v>211.94</v>
      </c>
    </row>
    <row r="242" spans="1:7" x14ac:dyDescent="0.2">
      <c r="A242" s="8" t="s">
        <v>3510</v>
      </c>
      <c r="B242" s="8">
        <v>21</v>
      </c>
      <c r="C242" s="8">
        <v>400</v>
      </c>
      <c r="D242" s="8">
        <v>1200</v>
      </c>
      <c r="E242" s="2" t="s">
        <v>3511</v>
      </c>
      <c r="F242" s="10">
        <v>223.11</v>
      </c>
      <c r="G242" s="11">
        <f>(FCV)*223.11</f>
        <v>223.11</v>
      </c>
    </row>
    <row r="243" spans="1:7" x14ac:dyDescent="0.2">
      <c r="A243" s="8" t="s">
        <v>4762</v>
      </c>
      <c r="B243" s="8">
        <v>21</v>
      </c>
      <c r="C243" s="8">
        <v>400</v>
      </c>
      <c r="D243" s="8">
        <v>1200</v>
      </c>
      <c r="E243" s="2" t="s">
        <v>4763</v>
      </c>
      <c r="F243" s="10">
        <v>223.11</v>
      </c>
      <c r="G243" s="11">
        <f>(FCV)*223.11</f>
        <v>223.11</v>
      </c>
    </row>
    <row r="244" spans="1:7" x14ac:dyDescent="0.2">
      <c r="A244" s="8" t="s">
        <v>3512</v>
      </c>
      <c r="B244" s="8">
        <v>21</v>
      </c>
      <c r="C244" s="8">
        <v>400</v>
      </c>
      <c r="D244" s="8">
        <v>1400</v>
      </c>
      <c r="E244" s="2" t="s">
        <v>3513</v>
      </c>
      <c r="F244" s="10">
        <v>245.84</v>
      </c>
      <c r="G244" s="11">
        <f>(FCV)*245.84</f>
        <v>245.84</v>
      </c>
    </row>
    <row r="245" spans="1:7" x14ac:dyDescent="0.2">
      <c r="A245" s="8" t="s">
        <v>4764</v>
      </c>
      <c r="B245" s="8">
        <v>21</v>
      </c>
      <c r="C245" s="8">
        <v>400</v>
      </c>
      <c r="D245" s="8">
        <v>1400</v>
      </c>
      <c r="E245" s="2" t="s">
        <v>4765</v>
      </c>
      <c r="F245" s="10">
        <v>245.84</v>
      </c>
      <c r="G245" s="11">
        <f>(FCV)*245.84</f>
        <v>245.84</v>
      </c>
    </row>
    <row r="246" spans="1:7" x14ac:dyDescent="0.2">
      <c r="A246" s="8" t="s">
        <v>3514</v>
      </c>
      <c r="B246" s="8">
        <v>21</v>
      </c>
      <c r="C246" s="8">
        <v>400</v>
      </c>
      <c r="D246" s="8">
        <v>1600</v>
      </c>
      <c r="E246" s="2" t="s">
        <v>3515</v>
      </c>
      <c r="F246" s="10">
        <v>268.70999999999998</v>
      </c>
      <c r="G246" s="11">
        <f>(FCV)*268.71</f>
        <v>268.70999999999998</v>
      </c>
    </row>
    <row r="247" spans="1:7" x14ac:dyDescent="0.2">
      <c r="A247" s="8" t="s">
        <v>4766</v>
      </c>
      <c r="B247" s="8">
        <v>21</v>
      </c>
      <c r="C247" s="8">
        <v>400</v>
      </c>
      <c r="D247" s="8">
        <v>1600</v>
      </c>
      <c r="E247" s="2" t="s">
        <v>4767</v>
      </c>
      <c r="F247" s="10">
        <v>268.70999999999998</v>
      </c>
      <c r="G247" s="11">
        <f>(FCV)*268.71</f>
        <v>268.70999999999998</v>
      </c>
    </row>
    <row r="248" spans="1:7" x14ac:dyDescent="0.2">
      <c r="A248" s="8" t="s">
        <v>3516</v>
      </c>
      <c r="B248" s="8">
        <v>21</v>
      </c>
      <c r="C248" s="8">
        <v>400</v>
      </c>
      <c r="D248" s="8">
        <v>1800</v>
      </c>
      <c r="E248" s="2" t="s">
        <v>3517</v>
      </c>
      <c r="F248" s="10">
        <v>292.2</v>
      </c>
      <c r="G248" s="11">
        <f>(FCV)*292.2</f>
        <v>292.2</v>
      </c>
    </row>
    <row r="249" spans="1:7" x14ac:dyDescent="0.2">
      <c r="A249" s="8" t="s">
        <v>4768</v>
      </c>
      <c r="B249" s="8">
        <v>21</v>
      </c>
      <c r="C249" s="8">
        <v>400</v>
      </c>
      <c r="D249" s="8">
        <v>1800</v>
      </c>
      <c r="E249" s="2" t="s">
        <v>4769</v>
      </c>
      <c r="F249" s="10">
        <v>292.2</v>
      </c>
      <c r="G249" s="11">
        <f>(FCV)*292.2</f>
        <v>292.2</v>
      </c>
    </row>
    <row r="250" spans="1:7" x14ac:dyDescent="0.2">
      <c r="A250" s="8" t="s">
        <v>3518</v>
      </c>
      <c r="B250" s="8">
        <v>21</v>
      </c>
      <c r="C250" s="8">
        <v>400</v>
      </c>
      <c r="D250" s="8">
        <v>2000</v>
      </c>
      <c r="E250" s="2" t="s">
        <v>3519</v>
      </c>
      <c r="F250" s="10">
        <v>314.63</v>
      </c>
      <c r="G250" s="11">
        <f>(FCV)*314.63</f>
        <v>314.63</v>
      </c>
    </row>
    <row r="251" spans="1:7" x14ac:dyDescent="0.2">
      <c r="A251" s="8" t="s">
        <v>4770</v>
      </c>
      <c r="B251" s="8">
        <v>21</v>
      </c>
      <c r="C251" s="8">
        <v>400</v>
      </c>
      <c r="D251" s="8">
        <v>2000</v>
      </c>
      <c r="E251" s="2" t="s">
        <v>4771</v>
      </c>
      <c r="F251" s="10">
        <v>314.63</v>
      </c>
      <c r="G251" s="11">
        <f>(FCV)*314.63</f>
        <v>314.63</v>
      </c>
    </row>
    <row r="252" spans="1:7" x14ac:dyDescent="0.2">
      <c r="A252" s="8" t="s">
        <v>3520</v>
      </c>
      <c r="B252" s="8">
        <v>21</v>
      </c>
      <c r="C252" s="8">
        <v>400</v>
      </c>
      <c r="D252" s="8">
        <v>2300</v>
      </c>
      <c r="E252" s="2" t="s">
        <v>3521</v>
      </c>
      <c r="F252" s="10">
        <v>349.4</v>
      </c>
      <c r="G252" s="11">
        <f>(FCV)*349.4</f>
        <v>349.4</v>
      </c>
    </row>
    <row r="253" spans="1:7" x14ac:dyDescent="0.2">
      <c r="A253" s="8" t="s">
        <v>4772</v>
      </c>
      <c r="B253" s="8">
        <v>21</v>
      </c>
      <c r="C253" s="8">
        <v>400</v>
      </c>
      <c r="D253" s="8">
        <v>2300</v>
      </c>
      <c r="E253" s="2" t="s">
        <v>4773</v>
      </c>
      <c r="F253" s="10">
        <v>349.4</v>
      </c>
      <c r="G253" s="11">
        <f>(FCV)*349.4</f>
        <v>349.4</v>
      </c>
    </row>
    <row r="254" spans="1:7" x14ac:dyDescent="0.2">
      <c r="A254" s="8" t="s">
        <v>3522</v>
      </c>
      <c r="B254" s="8">
        <v>21</v>
      </c>
      <c r="C254" s="8">
        <v>400</v>
      </c>
      <c r="D254" s="8">
        <v>2600</v>
      </c>
      <c r="E254" s="2" t="s">
        <v>3523</v>
      </c>
      <c r="F254" s="10">
        <v>383.93</v>
      </c>
      <c r="G254" s="11">
        <f>(FCV)*383.93</f>
        <v>383.93</v>
      </c>
    </row>
    <row r="255" spans="1:7" x14ac:dyDescent="0.2">
      <c r="A255" s="8" t="s">
        <v>4774</v>
      </c>
      <c r="B255" s="8">
        <v>21</v>
      </c>
      <c r="C255" s="8">
        <v>400</v>
      </c>
      <c r="D255" s="8">
        <v>2600</v>
      </c>
      <c r="E255" s="2" t="s">
        <v>4775</v>
      </c>
      <c r="F255" s="10">
        <v>383.93</v>
      </c>
      <c r="G255" s="11">
        <f>(FCV)*383.93</f>
        <v>383.93</v>
      </c>
    </row>
    <row r="256" spans="1:7" x14ac:dyDescent="0.2">
      <c r="A256" s="8" t="s">
        <v>3524</v>
      </c>
      <c r="B256" s="8">
        <v>21</v>
      </c>
      <c r="C256" s="8">
        <v>400</v>
      </c>
      <c r="D256" s="8">
        <v>3000</v>
      </c>
      <c r="E256" s="2" t="s">
        <v>3525</v>
      </c>
      <c r="F256" s="10">
        <v>430.1</v>
      </c>
      <c r="G256" s="11">
        <f>(FCV)*430.1</f>
        <v>430.1</v>
      </c>
    </row>
    <row r="257" spans="1:7" x14ac:dyDescent="0.2">
      <c r="A257" s="8" t="s">
        <v>4776</v>
      </c>
      <c r="B257" s="8">
        <v>21</v>
      </c>
      <c r="C257" s="8">
        <v>400</v>
      </c>
      <c r="D257" s="8">
        <v>3000</v>
      </c>
      <c r="E257" s="2" t="s">
        <v>4777</v>
      </c>
      <c r="F257" s="10">
        <v>430.1</v>
      </c>
      <c r="G257" s="11">
        <f>(FCV)*430.1</f>
        <v>430.1</v>
      </c>
    </row>
    <row r="258" spans="1:7" x14ac:dyDescent="0.2">
      <c r="A258" s="8" t="s">
        <v>3526</v>
      </c>
      <c r="B258" s="8">
        <v>21</v>
      </c>
      <c r="C258" s="8">
        <v>500</v>
      </c>
      <c r="D258" s="8">
        <v>400</v>
      </c>
      <c r="E258" s="2" t="s">
        <v>3527</v>
      </c>
      <c r="F258" s="10">
        <v>147.03</v>
      </c>
      <c r="G258" s="11">
        <f>(FCV)*147.03</f>
        <v>147.03</v>
      </c>
    </row>
    <row r="259" spans="1:7" x14ac:dyDescent="0.2">
      <c r="A259" s="8" t="s">
        <v>4778</v>
      </c>
      <c r="B259" s="8">
        <v>21</v>
      </c>
      <c r="C259" s="8">
        <v>500</v>
      </c>
      <c r="D259" s="8">
        <v>400</v>
      </c>
      <c r="E259" s="2" t="s">
        <v>4779</v>
      </c>
      <c r="F259" s="10">
        <v>147.03</v>
      </c>
      <c r="G259" s="11">
        <f>(FCV)*147.03</f>
        <v>147.03</v>
      </c>
    </row>
    <row r="260" spans="1:7" x14ac:dyDescent="0.2">
      <c r="A260" s="8" t="s">
        <v>3528</v>
      </c>
      <c r="B260" s="8">
        <v>21</v>
      </c>
      <c r="C260" s="8">
        <v>500</v>
      </c>
      <c r="D260" s="8">
        <v>500</v>
      </c>
      <c r="E260" s="2" t="s">
        <v>3529</v>
      </c>
      <c r="F260" s="10">
        <v>160.94999999999999</v>
      </c>
      <c r="G260" s="11">
        <f>(FCV)*160.95</f>
        <v>160.94999999999999</v>
      </c>
    </row>
    <row r="261" spans="1:7" x14ac:dyDescent="0.2">
      <c r="A261" s="8" t="s">
        <v>4780</v>
      </c>
      <c r="B261" s="8">
        <v>21</v>
      </c>
      <c r="C261" s="8">
        <v>500</v>
      </c>
      <c r="D261" s="8">
        <v>500</v>
      </c>
      <c r="E261" s="2" t="s">
        <v>4781</v>
      </c>
      <c r="F261" s="10">
        <v>160.94999999999999</v>
      </c>
      <c r="G261" s="11">
        <f>(FCV)*160.95</f>
        <v>160.94999999999999</v>
      </c>
    </row>
    <row r="262" spans="1:7" x14ac:dyDescent="0.2">
      <c r="A262" s="8" t="s">
        <v>3530</v>
      </c>
      <c r="B262" s="8">
        <v>21</v>
      </c>
      <c r="C262" s="8">
        <v>500</v>
      </c>
      <c r="D262" s="8">
        <v>600</v>
      </c>
      <c r="E262" s="2" t="s">
        <v>3531</v>
      </c>
      <c r="F262" s="10">
        <v>174.65</v>
      </c>
      <c r="G262" s="11">
        <f>(FCV)*174.65</f>
        <v>174.65</v>
      </c>
    </row>
    <row r="263" spans="1:7" x14ac:dyDescent="0.2">
      <c r="A263" s="8" t="s">
        <v>4782</v>
      </c>
      <c r="B263" s="8">
        <v>21</v>
      </c>
      <c r="C263" s="8">
        <v>500</v>
      </c>
      <c r="D263" s="8">
        <v>600</v>
      </c>
      <c r="E263" s="2" t="s">
        <v>4783</v>
      </c>
      <c r="F263" s="10">
        <v>174.65</v>
      </c>
      <c r="G263" s="11">
        <f>(FCV)*174.65</f>
        <v>174.65</v>
      </c>
    </row>
    <row r="264" spans="1:7" x14ac:dyDescent="0.2">
      <c r="A264" s="8" t="s">
        <v>3532</v>
      </c>
      <c r="B264" s="8">
        <v>21</v>
      </c>
      <c r="C264" s="8">
        <v>500</v>
      </c>
      <c r="D264" s="8">
        <v>700</v>
      </c>
      <c r="E264" s="2" t="s">
        <v>3533</v>
      </c>
      <c r="F264" s="10">
        <v>188.78</v>
      </c>
      <c r="G264" s="11">
        <f>(FCV)*188.78</f>
        <v>188.78</v>
      </c>
    </row>
    <row r="265" spans="1:7" x14ac:dyDescent="0.2">
      <c r="A265" s="8" t="s">
        <v>4784</v>
      </c>
      <c r="B265" s="8">
        <v>21</v>
      </c>
      <c r="C265" s="8">
        <v>500</v>
      </c>
      <c r="D265" s="8">
        <v>700</v>
      </c>
      <c r="E265" s="2" t="s">
        <v>4785</v>
      </c>
      <c r="F265" s="10">
        <v>188.78</v>
      </c>
      <c r="G265" s="11">
        <f>(FCV)*188.78</f>
        <v>188.78</v>
      </c>
    </row>
    <row r="266" spans="1:7" x14ac:dyDescent="0.2">
      <c r="A266" s="8" t="s">
        <v>3534</v>
      </c>
      <c r="B266" s="8">
        <v>21</v>
      </c>
      <c r="C266" s="8">
        <v>500</v>
      </c>
      <c r="D266" s="8">
        <v>800</v>
      </c>
      <c r="E266" s="2" t="s">
        <v>3535</v>
      </c>
      <c r="F266" s="10">
        <v>202.9</v>
      </c>
      <c r="G266" s="11">
        <f>(FCV)*202.9</f>
        <v>202.9</v>
      </c>
    </row>
    <row r="267" spans="1:7" x14ac:dyDescent="0.2">
      <c r="A267" s="8" t="s">
        <v>4786</v>
      </c>
      <c r="B267" s="8">
        <v>21</v>
      </c>
      <c r="C267" s="8">
        <v>500</v>
      </c>
      <c r="D267" s="8">
        <v>800</v>
      </c>
      <c r="E267" s="2" t="s">
        <v>4787</v>
      </c>
      <c r="F267" s="10">
        <v>202.9</v>
      </c>
      <c r="G267" s="11">
        <f>(FCV)*202.9</f>
        <v>202.9</v>
      </c>
    </row>
    <row r="268" spans="1:7" x14ac:dyDescent="0.2">
      <c r="A268" s="8" t="s">
        <v>3536</v>
      </c>
      <c r="B268" s="8">
        <v>21</v>
      </c>
      <c r="C268" s="8">
        <v>500</v>
      </c>
      <c r="D268" s="8">
        <v>900</v>
      </c>
      <c r="E268" s="2" t="s">
        <v>3537</v>
      </c>
      <c r="F268" s="10">
        <v>217.04</v>
      </c>
      <c r="G268" s="11">
        <f>(FCV)*217.04</f>
        <v>217.04</v>
      </c>
    </row>
    <row r="269" spans="1:7" x14ac:dyDescent="0.2">
      <c r="A269" s="8" t="s">
        <v>4788</v>
      </c>
      <c r="B269" s="8">
        <v>21</v>
      </c>
      <c r="C269" s="8">
        <v>500</v>
      </c>
      <c r="D269" s="8">
        <v>900</v>
      </c>
      <c r="E269" s="2" t="s">
        <v>4789</v>
      </c>
      <c r="F269" s="10">
        <v>217.04</v>
      </c>
      <c r="G269" s="11">
        <f>(FCV)*217.04</f>
        <v>217.04</v>
      </c>
    </row>
    <row r="270" spans="1:7" x14ac:dyDescent="0.2">
      <c r="A270" s="8" t="s">
        <v>3538</v>
      </c>
      <c r="B270" s="8">
        <v>21</v>
      </c>
      <c r="C270" s="8">
        <v>500</v>
      </c>
      <c r="D270" s="8">
        <v>1000</v>
      </c>
      <c r="E270" s="2" t="s">
        <v>3539</v>
      </c>
      <c r="F270" s="10">
        <v>230.93</v>
      </c>
      <c r="G270" s="11">
        <f>(FCV)*230.93</f>
        <v>230.93</v>
      </c>
    </row>
    <row r="271" spans="1:7" x14ac:dyDescent="0.2">
      <c r="A271" s="8" t="s">
        <v>4790</v>
      </c>
      <c r="B271" s="8">
        <v>21</v>
      </c>
      <c r="C271" s="8">
        <v>500</v>
      </c>
      <c r="D271" s="8">
        <v>1000</v>
      </c>
      <c r="E271" s="2" t="s">
        <v>4791</v>
      </c>
      <c r="F271" s="10">
        <v>230.93</v>
      </c>
      <c r="G271" s="11">
        <f>(FCV)*230.93</f>
        <v>230.93</v>
      </c>
    </row>
    <row r="272" spans="1:7" x14ac:dyDescent="0.2">
      <c r="A272" s="8" t="s">
        <v>3540</v>
      </c>
      <c r="B272" s="8">
        <v>21</v>
      </c>
      <c r="C272" s="8">
        <v>500</v>
      </c>
      <c r="D272" s="8">
        <v>1100</v>
      </c>
      <c r="E272" s="2" t="s">
        <v>3541</v>
      </c>
      <c r="F272" s="10">
        <v>244.87</v>
      </c>
      <c r="G272" s="11">
        <f>(FCV)*244.87</f>
        <v>244.87</v>
      </c>
    </row>
    <row r="273" spans="1:7" x14ac:dyDescent="0.2">
      <c r="A273" s="8" t="s">
        <v>4792</v>
      </c>
      <c r="B273" s="8">
        <v>21</v>
      </c>
      <c r="C273" s="8">
        <v>500</v>
      </c>
      <c r="D273" s="8">
        <v>1100</v>
      </c>
      <c r="E273" s="2" t="s">
        <v>4793</v>
      </c>
      <c r="F273" s="10">
        <v>244.87</v>
      </c>
      <c r="G273" s="11">
        <f>(FCV)*244.87</f>
        <v>244.87</v>
      </c>
    </row>
    <row r="274" spans="1:7" x14ac:dyDescent="0.2">
      <c r="A274" s="8" t="s">
        <v>3542</v>
      </c>
      <c r="B274" s="8">
        <v>21</v>
      </c>
      <c r="C274" s="8">
        <v>500</v>
      </c>
      <c r="D274" s="8">
        <v>1200</v>
      </c>
      <c r="E274" s="2" t="s">
        <v>3543</v>
      </c>
      <c r="F274" s="10">
        <v>258.87</v>
      </c>
      <c r="G274" s="11">
        <f>(FCV)*258.87</f>
        <v>258.87</v>
      </c>
    </row>
    <row r="275" spans="1:7" x14ac:dyDescent="0.2">
      <c r="A275" s="8" t="s">
        <v>4794</v>
      </c>
      <c r="B275" s="8">
        <v>21</v>
      </c>
      <c r="C275" s="8">
        <v>500</v>
      </c>
      <c r="D275" s="8">
        <v>1200</v>
      </c>
      <c r="E275" s="2" t="s">
        <v>4795</v>
      </c>
      <c r="F275" s="10">
        <v>258.87</v>
      </c>
      <c r="G275" s="11">
        <f>(FCV)*258.87</f>
        <v>258.87</v>
      </c>
    </row>
    <row r="276" spans="1:7" x14ac:dyDescent="0.2">
      <c r="A276" s="8" t="s">
        <v>3544</v>
      </c>
      <c r="B276" s="8">
        <v>21</v>
      </c>
      <c r="C276" s="8">
        <v>500</v>
      </c>
      <c r="D276" s="8">
        <v>1400</v>
      </c>
      <c r="E276" s="2" t="s">
        <v>3545</v>
      </c>
      <c r="F276" s="10">
        <v>286.47000000000003</v>
      </c>
      <c r="G276" s="11">
        <f>(FCV)*286.47</f>
        <v>286.47000000000003</v>
      </c>
    </row>
    <row r="277" spans="1:7" x14ac:dyDescent="0.2">
      <c r="A277" s="8" t="s">
        <v>4796</v>
      </c>
      <c r="B277" s="8">
        <v>21</v>
      </c>
      <c r="C277" s="8">
        <v>500</v>
      </c>
      <c r="D277" s="8">
        <v>1400</v>
      </c>
      <c r="E277" s="2" t="s">
        <v>4797</v>
      </c>
      <c r="F277" s="10">
        <v>286.47000000000003</v>
      </c>
      <c r="G277" s="11">
        <f>(FCV)*286.47</f>
        <v>286.47000000000003</v>
      </c>
    </row>
    <row r="278" spans="1:7" x14ac:dyDescent="0.2">
      <c r="A278" s="8" t="s">
        <v>3546</v>
      </c>
      <c r="B278" s="8">
        <v>21</v>
      </c>
      <c r="C278" s="8">
        <v>500</v>
      </c>
      <c r="D278" s="8">
        <v>1600</v>
      </c>
      <c r="E278" s="2" t="s">
        <v>3547</v>
      </c>
      <c r="F278" s="10">
        <v>315.17</v>
      </c>
      <c r="G278" s="11">
        <f>(FCV)*315.17</f>
        <v>315.17</v>
      </c>
    </row>
    <row r="279" spans="1:7" x14ac:dyDescent="0.2">
      <c r="A279" s="8" t="s">
        <v>4798</v>
      </c>
      <c r="B279" s="8">
        <v>21</v>
      </c>
      <c r="C279" s="8">
        <v>500</v>
      </c>
      <c r="D279" s="8">
        <v>1600</v>
      </c>
      <c r="E279" s="2" t="s">
        <v>4799</v>
      </c>
      <c r="F279" s="10">
        <v>315.17</v>
      </c>
      <c r="G279" s="11">
        <f>(FCV)*315.17</f>
        <v>315.17</v>
      </c>
    </row>
    <row r="280" spans="1:7" x14ac:dyDescent="0.2">
      <c r="A280" s="8" t="s">
        <v>3548</v>
      </c>
      <c r="B280" s="8">
        <v>21</v>
      </c>
      <c r="C280" s="8">
        <v>500</v>
      </c>
      <c r="D280" s="8">
        <v>1800</v>
      </c>
      <c r="E280" s="2" t="s">
        <v>3549</v>
      </c>
      <c r="F280" s="10">
        <v>342.11</v>
      </c>
      <c r="G280" s="11">
        <f>(FCV)*342.11</f>
        <v>342.11</v>
      </c>
    </row>
    <row r="281" spans="1:7" x14ac:dyDescent="0.2">
      <c r="A281" s="8" t="s">
        <v>4800</v>
      </c>
      <c r="B281" s="8">
        <v>21</v>
      </c>
      <c r="C281" s="8">
        <v>500</v>
      </c>
      <c r="D281" s="8">
        <v>1800</v>
      </c>
      <c r="E281" s="2" t="s">
        <v>4801</v>
      </c>
      <c r="F281" s="10">
        <v>342.11</v>
      </c>
      <c r="G281" s="11">
        <f>(FCV)*342.11</f>
        <v>342.11</v>
      </c>
    </row>
    <row r="282" spans="1:7" x14ac:dyDescent="0.2">
      <c r="A282" s="8" t="s">
        <v>3550</v>
      </c>
      <c r="B282" s="8">
        <v>21</v>
      </c>
      <c r="C282" s="8">
        <v>500</v>
      </c>
      <c r="D282" s="8">
        <v>2000</v>
      </c>
      <c r="E282" s="2" t="s">
        <v>3551</v>
      </c>
      <c r="F282" s="10">
        <v>370.7</v>
      </c>
      <c r="G282" s="11">
        <f>(FCV)*370.7</f>
        <v>370.7</v>
      </c>
    </row>
    <row r="283" spans="1:7" x14ac:dyDescent="0.2">
      <c r="A283" s="8" t="s">
        <v>4802</v>
      </c>
      <c r="B283" s="8">
        <v>21</v>
      </c>
      <c r="C283" s="8">
        <v>500</v>
      </c>
      <c r="D283" s="8">
        <v>2000</v>
      </c>
      <c r="E283" s="2" t="s">
        <v>4803</v>
      </c>
      <c r="F283" s="10">
        <v>370.7</v>
      </c>
      <c r="G283" s="11">
        <f>(FCV)*370.7</f>
        <v>370.7</v>
      </c>
    </row>
    <row r="284" spans="1:7" x14ac:dyDescent="0.2">
      <c r="A284" s="8" t="s">
        <v>3552</v>
      </c>
      <c r="B284" s="8">
        <v>21</v>
      </c>
      <c r="C284" s="8">
        <v>500</v>
      </c>
      <c r="D284" s="8">
        <v>2300</v>
      </c>
      <c r="E284" s="2" t="s">
        <v>3553</v>
      </c>
      <c r="F284" s="10">
        <v>409.55</v>
      </c>
      <c r="G284" s="11">
        <f>(FCV)*409.55</f>
        <v>409.55</v>
      </c>
    </row>
    <row r="285" spans="1:7" x14ac:dyDescent="0.2">
      <c r="A285" s="8" t="s">
        <v>4804</v>
      </c>
      <c r="B285" s="8">
        <v>21</v>
      </c>
      <c r="C285" s="8">
        <v>500</v>
      </c>
      <c r="D285" s="8">
        <v>2300</v>
      </c>
      <c r="E285" s="2" t="s">
        <v>4805</v>
      </c>
      <c r="F285" s="10">
        <v>409.55</v>
      </c>
      <c r="G285" s="11">
        <f>(FCV)*409.55</f>
        <v>409.55</v>
      </c>
    </row>
    <row r="286" spans="1:7" x14ac:dyDescent="0.2">
      <c r="A286" s="8" t="s">
        <v>3554</v>
      </c>
      <c r="B286" s="8">
        <v>21</v>
      </c>
      <c r="C286" s="8">
        <v>500</v>
      </c>
      <c r="D286" s="8">
        <v>2600</v>
      </c>
      <c r="E286" s="2" t="s">
        <v>3555</v>
      </c>
      <c r="F286" s="10">
        <v>454.27</v>
      </c>
      <c r="G286" s="11">
        <f>(FCV)*454.27</f>
        <v>454.27</v>
      </c>
    </row>
    <row r="287" spans="1:7" x14ac:dyDescent="0.2">
      <c r="A287" s="8" t="s">
        <v>4806</v>
      </c>
      <c r="B287" s="8">
        <v>21</v>
      </c>
      <c r="C287" s="8">
        <v>500</v>
      </c>
      <c r="D287" s="8">
        <v>2600</v>
      </c>
      <c r="E287" s="2" t="s">
        <v>4807</v>
      </c>
      <c r="F287" s="10">
        <v>454.27</v>
      </c>
      <c r="G287" s="11">
        <f>(FCV)*454.27</f>
        <v>454.27</v>
      </c>
    </row>
    <row r="288" spans="1:7" x14ac:dyDescent="0.2">
      <c r="A288" s="8" t="s">
        <v>3556</v>
      </c>
      <c r="B288" s="8">
        <v>21</v>
      </c>
      <c r="C288" s="8">
        <v>500</v>
      </c>
      <c r="D288" s="8">
        <v>3000</v>
      </c>
      <c r="E288" s="2" t="s">
        <v>3557</v>
      </c>
      <c r="F288" s="10">
        <v>510.11</v>
      </c>
      <c r="G288" s="11">
        <f>(FCV)*510.11</f>
        <v>510.11</v>
      </c>
    </row>
    <row r="289" spans="1:7" x14ac:dyDescent="0.2">
      <c r="A289" s="8" t="s">
        <v>4808</v>
      </c>
      <c r="B289" s="8">
        <v>21</v>
      </c>
      <c r="C289" s="8">
        <v>500</v>
      </c>
      <c r="D289" s="8">
        <v>3000</v>
      </c>
      <c r="E289" s="2" t="s">
        <v>4809</v>
      </c>
      <c r="F289" s="10">
        <v>510.11</v>
      </c>
      <c r="G289" s="11">
        <f>(FCV)*510.11</f>
        <v>510.11</v>
      </c>
    </row>
    <row r="290" spans="1:7" x14ac:dyDescent="0.2">
      <c r="A290" s="8" t="s">
        <v>3558</v>
      </c>
      <c r="B290" s="8">
        <v>21</v>
      </c>
      <c r="C290" s="8">
        <v>600</v>
      </c>
      <c r="D290" s="8">
        <v>400</v>
      </c>
      <c r="E290" s="2" t="s">
        <v>3559</v>
      </c>
      <c r="F290" s="10">
        <v>154.77000000000001</v>
      </c>
      <c r="G290" s="11">
        <f>(FCV)*154.77</f>
        <v>154.77000000000001</v>
      </c>
    </row>
    <row r="291" spans="1:7" x14ac:dyDescent="0.2">
      <c r="A291" s="8" t="s">
        <v>4810</v>
      </c>
      <c r="B291" s="8">
        <v>21</v>
      </c>
      <c r="C291" s="8">
        <v>600</v>
      </c>
      <c r="D291" s="8">
        <v>400</v>
      </c>
      <c r="E291" s="2" t="s">
        <v>4811</v>
      </c>
      <c r="F291" s="10">
        <v>154.77000000000001</v>
      </c>
      <c r="G291" s="11">
        <f>(FCV)*154.77</f>
        <v>154.77000000000001</v>
      </c>
    </row>
    <row r="292" spans="1:7" x14ac:dyDescent="0.2">
      <c r="A292" s="8" t="s">
        <v>3560</v>
      </c>
      <c r="B292" s="8">
        <v>21</v>
      </c>
      <c r="C292" s="8">
        <v>600</v>
      </c>
      <c r="D292" s="8">
        <v>500</v>
      </c>
      <c r="E292" s="2" t="s">
        <v>3561</v>
      </c>
      <c r="F292" s="10">
        <v>169.44</v>
      </c>
      <c r="G292" s="11">
        <f>(FCV)*169.44</f>
        <v>169.44</v>
      </c>
    </row>
    <row r="293" spans="1:7" x14ac:dyDescent="0.2">
      <c r="A293" s="8" t="s">
        <v>4812</v>
      </c>
      <c r="B293" s="8">
        <v>21</v>
      </c>
      <c r="C293" s="8">
        <v>600</v>
      </c>
      <c r="D293" s="8">
        <v>500</v>
      </c>
      <c r="E293" s="2" t="s">
        <v>4813</v>
      </c>
      <c r="F293" s="10">
        <v>169.44</v>
      </c>
      <c r="G293" s="11">
        <f>(FCV)*169.44</f>
        <v>169.44</v>
      </c>
    </row>
    <row r="294" spans="1:7" x14ac:dyDescent="0.2">
      <c r="A294" s="8" t="s">
        <v>3562</v>
      </c>
      <c r="B294" s="8">
        <v>21</v>
      </c>
      <c r="C294" s="8">
        <v>600</v>
      </c>
      <c r="D294" s="8">
        <v>600</v>
      </c>
      <c r="E294" s="2" t="s">
        <v>3563</v>
      </c>
      <c r="F294" s="10">
        <v>184.47</v>
      </c>
      <c r="G294" s="11">
        <f>(FCV)*184.47</f>
        <v>184.47</v>
      </c>
    </row>
    <row r="295" spans="1:7" x14ac:dyDescent="0.2">
      <c r="A295" s="8" t="s">
        <v>4814</v>
      </c>
      <c r="B295" s="8">
        <v>21</v>
      </c>
      <c r="C295" s="8">
        <v>600</v>
      </c>
      <c r="D295" s="8">
        <v>600</v>
      </c>
      <c r="E295" s="2" t="s">
        <v>4815</v>
      </c>
      <c r="F295" s="10">
        <v>184.47</v>
      </c>
      <c r="G295" s="11">
        <f>(FCV)*184.47</f>
        <v>184.47</v>
      </c>
    </row>
    <row r="296" spans="1:7" x14ac:dyDescent="0.2">
      <c r="A296" s="8" t="s">
        <v>3564</v>
      </c>
      <c r="B296" s="8">
        <v>21</v>
      </c>
      <c r="C296" s="8">
        <v>600</v>
      </c>
      <c r="D296" s="8">
        <v>700</v>
      </c>
      <c r="E296" s="2" t="s">
        <v>3565</v>
      </c>
      <c r="F296" s="10">
        <v>199.7</v>
      </c>
      <c r="G296" s="11">
        <f>(FCV)*199.7</f>
        <v>199.7</v>
      </c>
    </row>
    <row r="297" spans="1:7" x14ac:dyDescent="0.2">
      <c r="A297" s="8" t="s">
        <v>4816</v>
      </c>
      <c r="B297" s="8">
        <v>21</v>
      </c>
      <c r="C297" s="8">
        <v>600</v>
      </c>
      <c r="D297" s="8">
        <v>700</v>
      </c>
      <c r="E297" s="2" t="s">
        <v>4817</v>
      </c>
      <c r="F297" s="10">
        <v>199.7</v>
      </c>
      <c r="G297" s="11">
        <f>(FCV)*199.7</f>
        <v>199.7</v>
      </c>
    </row>
    <row r="298" spans="1:7" x14ac:dyDescent="0.2">
      <c r="A298" s="8" t="s">
        <v>3566</v>
      </c>
      <c r="B298" s="8">
        <v>21</v>
      </c>
      <c r="C298" s="8">
        <v>600</v>
      </c>
      <c r="D298" s="8">
        <v>800</v>
      </c>
      <c r="E298" s="2" t="s">
        <v>3567</v>
      </c>
      <c r="F298" s="10">
        <v>215.26</v>
      </c>
      <c r="G298" s="11">
        <f>(FCV)*215.26</f>
        <v>215.26</v>
      </c>
    </row>
    <row r="299" spans="1:7" x14ac:dyDescent="0.2">
      <c r="A299" s="8" t="s">
        <v>4818</v>
      </c>
      <c r="B299" s="8">
        <v>21</v>
      </c>
      <c r="C299" s="8">
        <v>600</v>
      </c>
      <c r="D299" s="8">
        <v>800</v>
      </c>
      <c r="E299" s="2" t="s">
        <v>4819</v>
      </c>
      <c r="F299" s="10">
        <v>215.26</v>
      </c>
      <c r="G299" s="11">
        <f>(FCV)*215.26</f>
        <v>215.26</v>
      </c>
    </row>
    <row r="300" spans="1:7" x14ac:dyDescent="0.2">
      <c r="A300" s="8" t="s">
        <v>3568</v>
      </c>
      <c r="B300" s="8">
        <v>21</v>
      </c>
      <c r="C300" s="8">
        <v>600</v>
      </c>
      <c r="D300" s="8">
        <v>900</v>
      </c>
      <c r="E300" s="2" t="s">
        <v>3569</v>
      </c>
      <c r="F300" s="10">
        <v>230.82</v>
      </c>
      <c r="G300" s="11">
        <f>(FCV)*230.82</f>
        <v>230.82</v>
      </c>
    </row>
    <row r="301" spans="1:7" x14ac:dyDescent="0.2">
      <c r="A301" s="8" t="s">
        <v>4820</v>
      </c>
      <c r="B301" s="8">
        <v>21</v>
      </c>
      <c r="C301" s="8">
        <v>600</v>
      </c>
      <c r="D301" s="8">
        <v>900</v>
      </c>
      <c r="E301" s="2" t="s">
        <v>4821</v>
      </c>
      <c r="F301" s="10">
        <v>230.82</v>
      </c>
      <c r="G301" s="11">
        <f>(FCV)*230.82</f>
        <v>230.82</v>
      </c>
    </row>
    <row r="302" spans="1:7" x14ac:dyDescent="0.2">
      <c r="A302" s="8" t="s">
        <v>3570</v>
      </c>
      <c r="B302" s="8">
        <v>21</v>
      </c>
      <c r="C302" s="8">
        <v>600</v>
      </c>
      <c r="D302" s="8">
        <v>1000</v>
      </c>
      <c r="E302" s="2" t="s">
        <v>3571</v>
      </c>
      <c r="F302" s="10">
        <v>246.39</v>
      </c>
      <c r="G302" s="11">
        <f>(FCV)*246.39</f>
        <v>246.39</v>
      </c>
    </row>
    <row r="303" spans="1:7" x14ac:dyDescent="0.2">
      <c r="A303" s="8" t="s">
        <v>4822</v>
      </c>
      <c r="B303" s="8">
        <v>21</v>
      </c>
      <c r="C303" s="8">
        <v>600</v>
      </c>
      <c r="D303" s="8">
        <v>1000</v>
      </c>
      <c r="E303" s="2" t="s">
        <v>4823</v>
      </c>
      <c r="F303" s="10">
        <v>246.39</v>
      </c>
      <c r="G303" s="11">
        <f>(FCV)*246.39</f>
        <v>246.39</v>
      </c>
    </row>
    <row r="304" spans="1:7" x14ac:dyDescent="0.2">
      <c r="A304" s="8" t="s">
        <v>3572</v>
      </c>
      <c r="B304" s="8">
        <v>21</v>
      </c>
      <c r="C304" s="8">
        <v>600</v>
      </c>
      <c r="D304" s="8">
        <v>1100</v>
      </c>
      <c r="E304" s="2" t="s">
        <v>3573</v>
      </c>
      <c r="F304" s="10">
        <v>261.95999999999998</v>
      </c>
      <c r="G304" s="11">
        <f>(FCV)*261.96</f>
        <v>261.95999999999998</v>
      </c>
    </row>
    <row r="305" spans="1:7" x14ac:dyDescent="0.2">
      <c r="A305" s="8" t="s">
        <v>4824</v>
      </c>
      <c r="B305" s="8">
        <v>21</v>
      </c>
      <c r="C305" s="8">
        <v>600</v>
      </c>
      <c r="D305" s="8">
        <v>1100</v>
      </c>
      <c r="E305" s="2" t="s">
        <v>4825</v>
      </c>
      <c r="F305" s="10">
        <v>261.95999999999998</v>
      </c>
      <c r="G305" s="11">
        <f>(FCV)*261.96</f>
        <v>261.95999999999998</v>
      </c>
    </row>
    <row r="306" spans="1:7" x14ac:dyDescent="0.2">
      <c r="A306" s="8" t="s">
        <v>3574</v>
      </c>
      <c r="B306" s="8">
        <v>21</v>
      </c>
      <c r="C306" s="8">
        <v>600</v>
      </c>
      <c r="D306" s="8">
        <v>1200</v>
      </c>
      <c r="E306" s="2" t="s">
        <v>3575</v>
      </c>
      <c r="F306" s="10">
        <v>277.08</v>
      </c>
      <c r="G306" s="11">
        <f>(FCV)*277.08</f>
        <v>277.08</v>
      </c>
    </row>
    <row r="307" spans="1:7" x14ac:dyDescent="0.2">
      <c r="A307" s="8" t="s">
        <v>4826</v>
      </c>
      <c r="B307" s="8">
        <v>21</v>
      </c>
      <c r="C307" s="8">
        <v>600</v>
      </c>
      <c r="D307" s="8">
        <v>1200</v>
      </c>
      <c r="E307" s="2" t="s">
        <v>4827</v>
      </c>
      <c r="F307" s="10">
        <v>277.08</v>
      </c>
      <c r="G307" s="11">
        <f>(FCV)*277.08</f>
        <v>277.08</v>
      </c>
    </row>
    <row r="308" spans="1:7" x14ac:dyDescent="0.2">
      <c r="A308" s="8" t="s">
        <v>3576</v>
      </c>
      <c r="B308" s="8">
        <v>21</v>
      </c>
      <c r="C308" s="8">
        <v>600</v>
      </c>
      <c r="D308" s="8">
        <v>1400</v>
      </c>
      <c r="E308" s="2" t="s">
        <v>3577</v>
      </c>
      <c r="F308" s="10">
        <v>308.11</v>
      </c>
      <c r="G308" s="11">
        <f>(FCV)*308.11</f>
        <v>308.11</v>
      </c>
    </row>
    <row r="309" spans="1:7" x14ac:dyDescent="0.2">
      <c r="A309" s="8" t="s">
        <v>4828</v>
      </c>
      <c r="B309" s="8">
        <v>21</v>
      </c>
      <c r="C309" s="8">
        <v>600</v>
      </c>
      <c r="D309" s="8">
        <v>1400</v>
      </c>
      <c r="E309" s="2" t="s">
        <v>4829</v>
      </c>
      <c r="F309" s="10">
        <v>308.11</v>
      </c>
      <c r="G309" s="11">
        <f>(FCV)*308.11</f>
        <v>308.11</v>
      </c>
    </row>
    <row r="310" spans="1:7" x14ac:dyDescent="0.2">
      <c r="A310" s="8" t="s">
        <v>3578</v>
      </c>
      <c r="B310" s="8">
        <v>21</v>
      </c>
      <c r="C310" s="8">
        <v>600</v>
      </c>
      <c r="D310" s="8">
        <v>1600</v>
      </c>
      <c r="E310" s="2" t="s">
        <v>3579</v>
      </c>
      <c r="F310" s="10">
        <v>339.13</v>
      </c>
      <c r="G310" s="11">
        <f>(FCV)*339.13</f>
        <v>339.13</v>
      </c>
    </row>
    <row r="311" spans="1:7" x14ac:dyDescent="0.2">
      <c r="A311" s="8" t="s">
        <v>4830</v>
      </c>
      <c r="B311" s="8">
        <v>21</v>
      </c>
      <c r="C311" s="8">
        <v>600</v>
      </c>
      <c r="D311" s="8">
        <v>1600</v>
      </c>
      <c r="E311" s="2" t="s">
        <v>4831</v>
      </c>
      <c r="F311" s="10">
        <v>339.13</v>
      </c>
      <c r="G311" s="11">
        <f>(FCV)*339.13</f>
        <v>339.13</v>
      </c>
    </row>
    <row r="312" spans="1:7" x14ac:dyDescent="0.2">
      <c r="A312" s="8" t="s">
        <v>3580</v>
      </c>
      <c r="B312" s="8">
        <v>21</v>
      </c>
      <c r="C312" s="8">
        <v>600</v>
      </c>
      <c r="D312" s="8">
        <v>1800</v>
      </c>
      <c r="E312" s="2" t="s">
        <v>3581</v>
      </c>
      <c r="F312" s="10">
        <v>370.03</v>
      </c>
      <c r="G312" s="11">
        <f>(FCV)*370.03</f>
        <v>370.03</v>
      </c>
    </row>
    <row r="313" spans="1:7" x14ac:dyDescent="0.2">
      <c r="A313" s="8" t="s">
        <v>4832</v>
      </c>
      <c r="B313" s="8">
        <v>21</v>
      </c>
      <c r="C313" s="8">
        <v>600</v>
      </c>
      <c r="D313" s="8">
        <v>1800</v>
      </c>
      <c r="E313" s="2" t="s">
        <v>4833</v>
      </c>
      <c r="F313" s="10">
        <v>370.03</v>
      </c>
      <c r="G313" s="11">
        <f>(FCV)*370.03</f>
        <v>370.03</v>
      </c>
    </row>
    <row r="314" spans="1:7" x14ac:dyDescent="0.2">
      <c r="A314" s="8" t="s">
        <v>3582</v>
      </c>
      <c r="B314" s="8">
        <v>21</v>
      </c>
      <c r="C314" s="8">
        <v>600</v>
      </c>
      <c r="D314" s="8">
        <v>2000</v>
      </c>
      <c r="E314" s="2" t="s">
        <v>3583</v>
      </c>
      <c r="F314" s="10">
        <v>400.83</v>
      </c>
      <c r="G314" s="11">
        <f>(FCV)*400.83</f>
        <v>400.83</v>
      </c>
    </row>
    <row r="315" spans="1:7" x14ac:dyDescent="0.2">
      <c r="A315" s="8" t="s">
        <v>4834</v>
      </c>
      <c r="B315" s="8">
        <v>21</v>
      </c>
      <c r="C315" s="8">
        <v>600</v>
      </c>
      <c r="D315" s="8">
        <v>2000</v>
      </c>
      <c r="E315" s="2" t="s">
        <v>4835</v>
      </c>
      <c r="F315" s="10">
        <v>400.83</v>
      </c>
      <c r="G315" s="11">
        <f>(FCV)*400.83</f>
        <v>400.83</v>
      </c>
    </row>
    <row r="316" spans="1:7" x14ac:dyDescent="0.2">
      <c r="A316" s="8" t="s">
        <v>3584</v>
      </c>
      <c r="B316" s="8">
        <v>21</v>
      </c>
      <c r="C316" s="8">
        <v>600</v>
      </c>
      <c r="D316" s="8">
        <v>2300</v>
      </c>
      <c r="E316" s="2" t="s">
        <v>3585</v>
      </c>
      <c r="F316" s="10">
        <v>447.75</v>
      </c>
      <c r="G316" s="11">
        <f>(FCV)*447.75</f>
        <v>447.75</v>
      </c>
    </row>
    <row r="317" spans="1:7" x14ac:dyDescent="0.2">
      <c r="A317" s="8" t="s">
        <v>4836</v>
      </c>
      <c r="B317" s="8">
        <v>21</v>
      </c>
      <c r="C317" s="8">
        <v>600</v>
      </c>
      <c r="D317" s="8">
        <v>2300</v>
      </c>
      <c r="E317" s="2" t="s">
        <v>4837</v>
      </c>
      <c r="F317" s="10">
        <v>447.75</v>
      </c>
      <c r="G317" s="11">
        <f>(FCV)*447.75</f>
        <v>447.75</v>
      </c>
    </row>
    <row r="318" spans="1:7" x14ac:dyDescent="0.2">
      <c r="A318" s="8" t="s">
        <v>3586</v>
      </c>
      <c r="B318" s="8">
        <v>21</v>
      </c>
      <c r="C318" s="8">
        <v>600</v>
      </c>
      <c r="D318" s="8">
        <v>2600</v>
      </c>
      <c r="E318" s="2" t="s">
        <v>3587</v>
      </c>
      <c r="F318" s="10">
        <v>493.67</v>
      </c>
      <c r="G318" s="11">
        <f>(FCV)*493.67</f>
        <v>493.67</v>
      </c>
    </row>
    <row r="319" spans="1:7" x14ac:dyDescent="0.2">
      <c r="A319" s="8" t="s">
        <v>4838</v>
      </c>
      <c r="B319" s="8">
        <v>21</v>
      </c>
      <c r="C319" s="8">
        <v>600</v>
      </c>
      <c r="D319" s="8">
        <v>2600</v>
      </c>
      <c r="E319" s="2" t="s">
        <v>4839</v>
      </c>
      <c r="F319" s="10">
        <v>493.67</v>
      </c>
      <c r="G319" s="11">
        <f>(FCV)*493.67</f>
        <v>493.67</v>
      </c>
    </row>
    <row r="320" spans="1:7" x14ac:dyDescent="0.2">
      <c r="A320" s="8" t="s">
        <v>3588</v>
      </c>
      <c r="B320" s="8">
        <v>21</v>
      </c>
      <c r="C320" s="8">
        <v>600</v>
      </c>
      <c r="D320" s="8">
        <v>3000</v>
      </c>
      <c r="E320" s="2" t="s">
        <v>3589</v>
      </c>
      <c r="F320" s="10">
        <v>555.38</v>
      </c>
      <c r="G320" s="11">
        <f>(FCV)*555.38</f>
        <v>555.38</v>
      </c>
    </row>
    <row r="321" spans="1:7" x14ac:dyDescent="0.2">
      <c r="A321" s="8" t="s">
        <v>4840</v>
      </c>
      <c r="B321" s="8">
        <v>21</v>
      </c>
      <c r="C321" s="8">
        <v>600</v>
      </c>
      <c r="D321" s="8">
        <v>3000</v>
      </c>
      <c r="E321" s="2" t="s">
        <v>4841</v>
      </c>
      <c r="F321" s="10">
        <v>555.38</v>
      </c>
      <c r="G321" s="11">
        <f>(FCV)*555.38</f>
        <v>555.38</v>
      </c>
    </row>
    <row r="322" spans="1:7" x14ac:dyDescent="0.2">
      <c r="A322" s="8" t="s">
        <v>3590</v>
      </c>
      <c r="B322" s="8">
        <v>21</v>
      </c>
      <c r="C322" s="8">
        <v>900</v>
      </c>
      <c r="D322" s="8">
        <v>400</v>
      </c>
      <c r="E322" s="2" t="s">
        <v>3591</v>
      </c>
      <c r="F322" s="10">
        <v>202.36</v>
      </c>
      <c r="G322" s="11">
        <f>(FCV)*202.36</f>
        <v>202.36</v>
      </c>
    </row>
    <row r="323" spans="1:7" x14ac:dyDescent="0.2">
      <c r="A323" s="8" t="s">
        <v>4842</v>
      </c>
      <c r="B323" s="8">
        <v>21</v>
      </c>
      <c r="C323" s="8">
        <v>900</v>
      </c>
      <c r="D323" s="8">
        <v>400</v>
      </c>
      <c r="E323" s="2" t="s">
        <v>4843</v>
      </c>
      <c r="F323" s="10">
        <v>202.36</v>
      </c>
      <c r="G323" s="11">
        <f>(FCV)*202.36</f>
        <v>202.36</v>
      </c>
    </row>
    <row r="324" spans="1:7" x14ac:dyDescent="0.2">
      <c r="A324" s="8" t="s">
        <v>3592</v>
      </c>
      <c r="B324" s="8">
        <v>21</v>
      </c>
      <c r="C324" s="8">
        <v>900</v>
      </c>
      <c r="D324" s="8">
        <v>500</v>
      </c>
      <c r="E324" s="2" t="s">
        <v>3593</v>
      </c>
      <c r="F324" s="10">
        <v>222</v>
      </c>
      <c r="G324" s="11">
        <f>(FCV)*222</f>
        <v>222</v>
      </c>
    </row>
    <row r="325" spans="1:7" x14ac:dyDescent="0.2">
      <c r="A325" s="8" t="s">
        <v>4844</v>
      </c>
      <c r="B325" s="8">
        <v>21</v>
      </c>
      <c r="C325" s="8">
        <v>900</v>
      </c>
      <c r="D325" s="8">
        <v>500</v>
      </c>
      <c r="E325" s="2" t="s">
        <v>4845</v>
      </c>
      <c r="F325" s="10">
        <v>222</v>
      </c>
      <c r="G325" s="11">
        <f>(FCV)*222</f>
        <v>222</v>
      </c>
    </row>
    <row r="326" spans="1:7" x14ac:dyDescent="0.2">
      <c r="A326" s="8" t="s">
        <v>3594</v>
      </c>
      <c r="B326" s="8">
        <v>21</v>
      </c>
      <c r="C326" s="8">
        <v>900</v>
      </c>
      <c r="D326" s="8">
        <v>600</v>
      </c>
      <c r="E326" s="2" t="s">
        <v>3595</v>
      </c>
      <c r="F326" s="10">
        <v>242.32</v>
      </c>
      <c r="G326" s="11">
        <f>(FCV)*242.32</f>
        <v>242.32</v>
      </c>
    </row>
    <row r="327" spans="1:7" x14ac:dyDescent="0.2">
      <c r="A327" s="8" t="s">
        <v>4846</v>
      </c>
      <c r="B327" s="8">
        <v>21</v>
      </c>
      <c r="C327" s="8">
        <v>900</v>
      </c>
      <c r="D327" s="8">
        <v>600</v>
      </c>
      <c r="E327" s="2" t="s">
        <v>4847</v>
      </c>
      <c r="F327" s="10">
        <v>242.32</v>
      </c>
      <c r="G327" s="11">
        <f>(FCV)*242.32</f>
        <v>242.32</v>
      </c>
    </row>
    <row r="328" spans="1:7" x14ac:dyDescent="0.2">
      <c r="A328" s="8" t="s">
        <v>3596</v>
      </c>
      <c r="B328" s="8">
        <v>21</v>
      </c>
      <c r="C328" s="8">
        <v>900</v>
      </c>
      <c r="D328" s="8">
        <v>700</v>
      </c>
      <c r="E328" s="2" t="s">
        <v>3597</v>
      </c>
      <c r="F328" s="10">
        <v>268.70999999999998</v>
      </c>
      <c r="G328" s="11">
        <f>(FCV)*268.71</f>
        <v>268.70999999999998</v>
      </c>
    </row>
    <row r="329" spans="1:7" x14ac:dyDescent="0.2">
      <c r="A329" s="8" t="s">
        <v>4848</v>
      </c>
      <c r="B329" s="8">
        <v>21</v>
      </c>
      <c r="C329" s="8">
        <v>900</v>
      </c>
      <c r="D329" s="8">
        <v>700</v>
      </c>
      <c r="E329" s="2" t="s">
        <v>4849</v>
      </c>
      <c r="F329" s="10">
        <v>268.70999999999998</v>
      </c>
      <c r="G329" s="11">
        <f>(FCV)*268.71</f>
        <v>268.70999999999998</v>
      </c>
    </row>
    <row r="330" spans="1:7" x14ac:dyDescent="0.2">
      <c r="A330" s="8" t="s">
        <v>3598</v>
      </c>
      <c r="B330" s="8">
        <v>21</v>
      </c>
      <c r="C330" s="8">
        <v>900</v>
      </c>
      <c r="D330" s="8">
        <v>800</v>
      </c>
      <c r="E330" s="2" t="s">
        <v>3599</v>
      </c>
      <c r="F330" s="10">
        <v>294.85000000000002</v>
      </c>
      <c r="G330" s="11">
        <f>(FCV)*294.85</f>
        <v>294.85000000000002</v>
      </c>
    </row>
    <row r="331" spans="1:7" x14ac:dyDescent="0.2">
      <c r="A331" s="8" t="s">
        <v>4850</v>
      </c>
      <c r="B331" s="8">
        <v>21</v>
      </c>
      <c r="C331" s="8">
        <v>900</v>
      </c>
      <c r="D331" s="8">
        <v>800</v>
      </c>
      <c r="E331" s="2" t="s">
        <v>4851</v>
      </c>
      <c r="F331" s="10">
        <v>294.85000000000002</v>
      </c>
      <c r="G331" s="11">
        <f>(FCV)*294.85</f>
        <v>294.85000000000002</v>
      </c>
    </row>
    <row r="332" spans="1:7" x14ac:dyDescent="0.2">
      <c r="A332" s="8" t="s">
        <v>3600</v>
      </c>
      <c r="B332" s="8">
        <v>21</v>
      </c>
      <c r="C332" s="8">
        <v>900</v>
      </c>
      <c r="D332" s="8">
        <v>900</v>
      </c>
      <c r="E332" s="2" t="s">
        <v>3601</v>
      </c>
      <c r="F332" s="10">
        <v>320.81</v>
      </c>
      <c r="G332" s="11">
        <f>(FCV)*320.81</f>
        <v>320.81</v>
      </c>
    </row>
    <row r="333" spans="1:7" x14ac:dyDescent="0.2">
      <c r="A333" s="8" t="s">
        <v>4852</v>
      </c>
      <c r="B333" s="8">
        <v>21</v>
      </c>
      <c r="C333" s="8">
        <v>900</v>
      </c>
      <c r="D333" s="8">
        <v>900</v>
      </c>
      <c r="E333" s="2" t="s">
        <v>4853</v>
      </c>
      <c r="F333" s="10">
        <v>320.81</v>
      </c>
      <c r="G333" s="11">
        <f>(FCV)*320.81</f>
        <v>320.81</v>
      </c>
    </row>
    <row r="334" spans="1:7" x14ac:dyDescent="0.2">
      <c r="A334" s="8" t="s">
        <v>3602</v>
      </c>
      <c r="B334" s="8">
        <v>21</v>
      </c>
      <c r="C334" s="8">
        <v>900</v>
      </c>
      <c r="D334" s="8">
        <v>1000</v>
      </c>
      <c r="E334" s="2" t="s">
        <v>3603</v>
      </c>
      <c r="F334" s="10">
        <v>346.76</v>
      </c>
      <c r="G334" s="11">
        <f>(FCV)*346.76</f>
        <v>346.76</v>
      </c>
    </row>
    <row r="335" spans="1:7" x14ac:dyDescent="0.2">
      <c r="A335" s="8" t="s">
        <v>4854</v>
      </c>
      <c r="B335" s="8">
        <v>21</v>
      </c>
      <c r="C335" s="8">
        <v>900</v>
      </c>
      <c r="D335" s="8">
        <v>1000</v>
      </c>
      <c r="E335" s="2" t="s">
        <v>4855</v>
      </c>
      <c r="F335" s="10">
        <v>346.76</v>
      </c>
      <c r="G335" s="11">
        <f>(FCV)*346.76</f>
        <v>346.76</v>
      </c>
    </row>
    <row r="336" spans="1:7" x14ac:dyDescent="0.2">
      <c r="A336" s="8" t="s">
        <v>3604</v>
      </c>
      <c r="B336" s="8">
        <v>21</v>
      </c>
      <c r="C336" s="8">
        <v>900</v>
      </c>
      <c r="D336" s="8">
        <v>1100</v>
      </c>
      <c r="E336" s="2" t="s">
        <v>3605</v>
      </c>
      <c r="F336" s="10">
        <v>373.45</v>
      </c>
      <c r="G336" s="11">
        <f>(FCV)*373.45</f>
        <v>373.45</v>
      </c>
    </row>
    <row r="337" spans="1:7" x14ac:dyDescent="0.2">
      <c r="A337" s="8" t="s">
        <v>4856</v>
      </c>
      <c r="B337" s="8">
        <v>21</v>
      </c>
      <c r="C337" s="8">
        <v>900</v>
      </c>
      <c r="D337" s="8">
        <v>1100</v>
      </c>
      <c r="E337" s="2" t="s">
        <v>4857</v>
      </c>
      <c r="F337" s="10">
        <v>373.45</v>
      </c>
      <c r="G337" s="11">
        <f>(FCV)*373.45</f>
        <v>373.45</v>
      </c>
    </row>
    <row r="338" spans="1:7" x14ac:dyDescent="0.2">
      <c r="A338" s="8" t="s">
        <v>3606</v>
      </c>
      <c r="B338" s="8">
        <v>21</v>
      </c>
      <c r="C338" s="8">
        <v>900</v>
      </c>
      <c r="D338" s="8">
        <v>1200</v>
      </c>
      <c r="E338" s="2" t="s">
        <v>3607</v>
      </c>
      <c r="F338" s="10">
        <v>398.84</v>
      </c>
      <c r="G338" s="11">
        <f>(FCV)*398.84</f>
        <v>398.84</v>
      </c>
    </row>
    <row r="339" spans="1:7" x14ac:dyDescent="0.2">
      <c r="A339" s="8" t="s">
        <v>4858</v>
      </c>
      <c r="B339" s="8">
        <v>21</v>
      </c>
      <c r="C339" s="8">
        <v>900</v>
      </c>
      <c r="D339" s="8">
        <v>1200</v>
      </c>
      <c r="E339" s="2" t="s">
        <v>4859</v>
      </c>
      <c r="F339" s="10">
        <v>398.84</v>
      </c>
      <c r="G339" s="11">
        <f>(FCV)*398.84</f>
        <v>398.84</v>
      </c>
    </row>
    <row r="340" spans="1:7" x14ac:dyDescent="0.2">
      <c r="A340" s="8" t="s">
        <v>3608</v>
      </c>
      <c r="B340" s="8">
        <v>21</v>
      </c>
      <c r="C340" s="8">
        <v>900</v>
      </c>
      <c r="D340" s="8">
        <v>1400</v>
      </c>
      <c r="E340" s="2" t="s">
        <v>3609</v>
      </c>
      <c r="F340" s="10">
        <v>450.29</v>
      </c>
      <c r="G340" s="11">
        <f>(FCV)*450.29</f>
        <v>450.29</v>
      </c>
    </row>
    <row r="341" spans="1:7" x14ac:dyDescent="0.2">
      <c r="A341" s="8" t="s">
        <v>4860</v>
      </c>
      <c r="B341" s="8">
        <v>21</v>
      </c>
      <c r="C341" s="8">
        <v>900</v>
      </c>
      <c r="D341" s="8">
        <v>1400</v>
      </c>
      <c r="E341" s="2" t="s">
        <v>4861</v>
      </c>
      <c r="F341" s="10">
        <v>450.29</v>
      </c>
      <c r="G341" s="11">
        <f>(FCV)*450.29</f>
        <v>450.29</v>
      </c>
    </row>
    <row r="342" spans="1:7" x14ac:dyDescent="0.2">
      <c r="A342" s="8" t="s">
        <v>3610</v>
      </c>
      <c r="B342" s="8">
        <v>21</v>
      </c>
      <c r="C342" s="8">
        <v>900</v>
      </c>
      <c r="D342" s="8">
        <v>1600</v>
      </c>
      <c r="E342" s="2" t="s">
        <v>3611</v>
      </c>
      <c r="F342" s="10">
        <v>502.29</v>
      </c>
      <c r="G342" s="11">
        <f>(FCV)*502.29</f>
        <v>502.29</v>
      </c>
    </row>
    <row r="343" spans="1:7" x14ac:dyDescent="0.2">
      <c r="A343" s="8" t="s">
        <v>4862</v>
      </c>
      <c r="B343" s="8">
        <v>21</v>
      </c>
      <c r="C343" s="8">
        <v>900</v>
      </c>
      <c r="D343" s="8">
        <v>1600</v>
      </c>
      <c r="E343" s="2" t="s">
        <v>4863</v>
      </c>
      <c r="F343" s="10">
        <v>502.29</v>
      </c>
      <c r="G343" s="11">
        <f>(FCV)*502.29</f>
        <v>502.29</v>
      </c>
    </row>
    <row r="344" spans="1:7" x14ac:dyDescent="0.2">
      <c r="A344" s="8" t="s">
        <v>3612</v>
      </c>
      <c r="B344" s="8">
        <v>21</v>
      </c>
      <c r="C344" s="8">
        <v>900</v>
      </c>
      <c r="D344" s="8">
        <v>1800</v>
      </c>
      <c r="E344" s="2" t="s">
        <v>3613</v>
      </c>
      <c r="F344" s="10">
        <v>553.94000000000005</v>
      </c>
      <c r="G344" s="11">
        <f>(FCV)*553.94</f>
        <v>553.94000000000005</v>
      </c>
    </row>
    <row r="345" spans="1:7" x14ac:dyDescent="0.2">
      <c r="A345" s="8" t="s">
        <v>4864</v>
      </c>
      <c r="B345" s="8">
        <v>21</v>
      </c>
      <c r="C345" s="8">
        <v>900</v>
      </c>
      <c r="D345" s="8">
        <v>1800</v>
      </c>
      <c r="E345" s="2" t="s">
        <v>4865</v>
      </c>
      <c r="F345" s="10">
        <v>553.94000000000005</v>
      </c>
      <c r="G345" s="11">
        <f>(FCV)*553.94</f>
        <v>553.94000000000005</v>
      </c>
    </row>
    <row r="346" spans="1:7" x14ac:dyDescent="0.2">
      <c r="A346" s="8" t="s">
        <v>3614</v>
      </c>
      <c r="B346" s="8">
        <v>21</v>
      </c>
      <c r="C346" s="8">
        <v>900</v>
      </c>
      <c r="D346" s="8">
        <v>2000</v>
      </c>
      <c r="E346" s="2" t="s">
        <v>3615</v>
      </c>
      <c r="F346" s="10">
        <v>607.15</v>
      </c>
      <c r="G346" s="11">
        <f>(FCV)*607.15</f>
        <v>607.15</v>
      </c>
    </row>
    <row r="347" spans="1:7" x14ac:dyDescent="0.2">
      <c r="A347" s="8" t="s">
        <v>4866</v>
      </c>
      <c r="B347" s="8">
        <v>21</v>
      </c>
      <c r="C347" s="8">
        <v>900</v>
      </c>
      <c r="D347" s="8">
        <v>2000</v>
      </c>
      <c r="E347" s="2" t="s">
        <v>4867</v>
      </c>
      <c r="F347" s="10">
        <v>607.15</v>
      </c>
      <c r="G347" s="11">
        <f>(FCV)*607.15</f>
        <v>607.15</v>
      </c>
    </row>
    <row r="348" spans="1:7" x14ac:dyDescent="0.2">
      <c r="A348" s="8" t="s">
        <v>3616</v>
      </c>
      <c r="B348" s="8">
        <v>22</v>
      </c>
      <c r="C348" s="8">
        <v>200</v>
      </c>
      <c r="D348" s="8">
        <v>600</v>
      </c>
      <c r="E348" s="2" t="s">
        <v>3617</v>
      </c>
      <c r="F348" s="10">
        <v>121.71</v>
      </c>
      <c r="G348" s="11">
        <f>(FCV)*121.71</f>
        <v>121.71</v>
      </c>
    </row>
    <row r="349" spans="1:7" x14ac:dyDescent="0.2">
      <c r="A349" s="8" t="s">
        <v>4868</v>
      </c>
      <c r="B349" s="8">
        <v>22</v>
      </c>
      <c r="C349" s="8">
        <v>200</v>
      </c>
      <c r="D349" s="8">
        <v>600</v>
      </c>
      <c r="E349" s="2" t="s">
        <v>4869</v>
      </c>
      <c r="F349" s="10">
        <v>121.71</v>
      </c>
      <c r="G349" s="11">
        <f>(FCV)*121.71</f>
        <v>121.71</v>
      </c>
    </row>
    <row r="350" spans="1:7" x14ac:dyDescent="0.2">
      <c r="A350" s="8" t="s">
        <v>3618</v>
      </c>
      <c r="B350" s="8">
        <v>22</v>
      </c>
      <c r="C350" s="8">
        <v>200</v>
      </c>
      <c r="D350" s="8">
        <v>700</v>
      </c>
      <c r="E350" s="2" t="s">
        <v>3619</v>
      </c>
      <c r="F350" s="10">
        <v>130.12</v>
      </c>
      <c r="G350" s="11">
        <f>(FCV)*130.12</f>
        <v>130.12</v>
      </c>
    </row>
    <row r="351" spans="1:7" x14ac:dyDescent="0.2">
      <c r="A351" s="8" t="s">
        <v>4870</v>
      </c>
      <c r="B351" s="8">
        <v>22</v>
      </c>
      <c r="C351" s="8">
        <v>200</v>
      </c>
      <c r="D351" s="8">
        <v>700</v>
      </c>
      <c r="E351" s="2" t="s">
        <v>4871</v>
      </c>
      <c r="F351" s="10">
        <v>130.12</v>
      </c>
      <c r="G351" s="11">
        <f>(FCV)*130.12</f>
        <v>130.12</v>
      </c>
    </row>
    <row r="352" spans="1:7" x14ac:dyDescent="0.2">
      <c r="A352" s="8" t="s">
        <v>3620</v>
      </c>
      <c r="B352" s="8">
        <v>22</v>
      </c>
      <c r="C352" s="8">
        <v>200</v>
      </c>
      <c r="D352" s="8">
        <v>800</v>
      </c>
      <c r="E352" s="2" t="s">
        <v>3621</v>
      </c>
      <c r="F352" s="10">
        <v>139.27000000000001</v>
      </c>
      <c r="G352" s="11">
        <f>(FCV)*139.27</f>
        <v>139.27000000000001</v>
      </c>
    </row>
    <row r="353" spans="1:7" x14ac:dyDescent="0.2">
      <c r="A353" s="8" t="s">
        <v>4872</v>
      </c>
      <c r="B353" s="8">
        <v>22</v>
      </c>
      <c r="C353" s="8">
        <v>200</v>
      </c>
      <c r="D353" s="8">
        <v>800</v>
      </c>
      <c r="E353" s="2" t="s">
        <v>4873</v>
      </c>
      <c r="F353" s="10">
        <v>139.27000000000001</v>
      </c>
      <c r="G353" s="11">
        <f>(FCV)*139.27</f>
        <v>139.27000000000001</v>
      </c>
    </row>
    <row r="354" spans="1:7" x14ac:dyDescent="0.2">
      <c r="A354" s="8" t="s">
        <v>3622</v>
      </c>
      <c r="B354" s="8">
        <v>22</v>
      </c>
      <c r="C354" s="8">
        <v>200</v>
      </c>
      <c r="D354" s="8">
        <v>900</v>
      </c>
      <c r="E354" s="2" t="s">
        <v>3623</v>
      </c>
      <c r="F354" s="10">
        <v>147.80000000000001</v>
      </c>
      <c r="G354" s="11">
        <f>(FCV)*147.8</f>
        <v>147.80000000000001</v>
      </c>
    </row>
    <row r="355" spans="1:7" x14ac:dyDescent="0.2">
      <c r="A355" s="8" t="s">
        <v>4874</v>
      </c>
      <c r="B355" s="8">
        <v>22</v>
      </c>
      <c r="C355" s="8">
        <v>200</v>
      </c>
      <c r="D355" s="8">
        <v>900</v>
      </c>
      <c r="E355" s="2" t="s">
        <v>4875</v>
      </c>
      <c r="F355" s="10">
        <v>147.80000000000001</v>
      </c>
      <c r="G355" s="11">
        <f>(FCV)*147.8</f>
        <v>147.80000000000001</v>
      </c>
    </row>
    <row r="356" spans="1:7" x14ac:dyDescent="0.2">
      <c r="A356" s="8" t="s">
        <v>3624</v>
      </c>
      <c r="B356" s="8">
        <v>22</v>
      </c>
      <c r="C356" s="8">
        <v>200</v>
      </c>
      <c r="D356" s="8">
        <v>1000</v>
      </c>
      <c r="E356" s="2" t="s">
        <v>3625</v>
      </c>
      <c r="F356" s="10">
        <v>156.63</v>
      </c>
      <c r="G356" s="11">
        <f>(FCV)*156.63</f>
        <v>156.63</v>
      </c>
    </row>
    <row r="357" spans="1:7" x14ac:dyDescent="0.2">
      <c r="A357" s="8" t="s">
        <v>4876</v>
      </c>
      <c r="B357" s="8">
        <v>22</v>
      </c>
      <c r="C357" s="8">
        <v>200</v>
      </c>
      <c r="D357" s="8">
        <v>1000</v>
      </c>
      <c r="E357" s="2" t="s">
        <v>4877</v>
      </c>
      <c r="F357" s="10">
        <v>156.63</v>
      </c>
      <c r="G357" s="11">
        <f>(FCV)*156.63</f>
        <v>156.63</v>
      </c>
    </row>
    <row r="358" spans="1:7" x14ac:dyDescent="0.2">
      <c r="A358" s="8" t="s">
        <v>3626</v>
      </c>
      <c r="B358" s="8">
        <v>22</v>
      </c>
      <c r="C358" s="8">
        <v>200</v>
      </c>
      <c r="D358" s="8">
        <v>1100</v>
      </c>
      <c r="E358" s="2" t="s">
        <v>3627</v>
      </c>
      <c r="F358" s="10">
        <v>165.15</v>
      </c>
      <c r="G358" s="11">
        <f>(FCV)*165.15</f>
        <v>165.15</v>
      </c>
    </row>
    <row r="359" spans="1:7" x14ac:dyDescent="0.2">
      <c r="A359" s="8" t="s">
        <v>4878</v>
      </c>
      <c r="B359" s="8">
        <v>22</v>
      </c>
      <c r="C359" s="8">
        <v>200</v>
      </c>
      <c r="D359" s="8">
        <v>1100</v>
      </c>
      <c r="E359" s="2" t="s">
        <v>4879</v>
      </c>
      <c r="F359" s="10">
        <v>165.15</v>
      </c>
      <c r="G359" s="11">
        <f>(FCV)*165.15</f>
        <v>165.15</v>
      </c>
    </row>
    <row r="360" spans="1:7" x14ac:dyDescent="0.2">
      <c r="A360" s="8" t="s">
        <v>3628</v>
      </c>
      <c r="B360" s="8">
        <v>22</v>
      </c>
      <c r="C360" s="8">
        <v>200</v>
      </c>
      <c r="D360" s="8">
        <v>1200</v>
      </c>
      <c r="E360" s="2" t="s">
        <v>3629</v>
      </c>
      <c r="F360" s="10">
        <v>173.28</v>
      </c>
      <c r="G360" s="11">
        <f>(FCV)*173.28</f>
        <v>173.28</v>
      </c>
    </row>
    <row r="361" spans="1:7" x14ac:dyDescent="0.2">
      <c r="A361" s="8" t="s">
        <v>4880</v>
      </c>
      <c r="B361" s="8">
        <v>22</v>
      </c>
      <c r="C361" s="8">
        <v>200</v>
      </c>
      <c r="D361" s="8">
        <v>1200</v>
      </c>
      <c r="E361" s="2" t="s">
        <v>4881</v>
      </c>
      <c r="F361" s="10">
        <v>173.28</v>
      </c>
      <c r="G361" s="11">
        <f>(FCV)*173.28</f>
        <v>173.28</v>
      </c>
    </row>
    <row r="362" spans="1:7" x14ac:dyDescent="0.2">
      <c r="A362" s="8" t="s">
        <v>3630</v>
      </c>
      <c r="B362" s="8">
        <v>22</v>
      </c>
      <c r="C362" s="8">
        <v>200</v>
      </c>
      <c r="D362" s="8">
        <v>1400</v>
      </c>
      <c r="E362" s="2" t="s">
        <v>3631</v>
      </c>
      <c r="F362" s="10">
        <v>190.87</v>
      </c>
      <c r="G362" s="11">
        <f>(FCV)*190.87</f>
        <v>190.87</v>
      </c>
    </row>
    <row r="363" spans="1:7" x14ac:dyDescent="0.2">
      <c r="A363" s="8" t="s">
        <v>4882</v>
      </c>
      <c r="B363" s="8">
        <v>22</v>
      </c>
      <c r="C363" s="8">
        <v>200</v>
      </c>
      <c r="D363" s="8">
        <v>1400</v>
      </c>
      <c r="E363" s="2" t="s">
        <v>4883</v>
      </c>
      <c r="F363" s="10">
        <v>190.87</v>
      </c>
      <c r="G363" s="11">
        <f>(FCV)*190.87</f>
        <v>190.87</v>
      </c>
    </row>
    <row r="364" spans="1:7" x14ac:dyDescent="0.2">
      <c r="A364" s="8" t="s">
        <v>3632</v>
      </c>
      <c r="B364" s="8">
        <v>22</v>
      </c>
      <c r="C364" s="8">
        <v>200</v>
      </c>
      <c r="D364" s="8">
        <v>1600</v>
      </c>
      <c r="E364" s="2" t="s">
        <v>3633</v>
      </c>
      <c r="F364" s="10">
        <v>208.15</v>
      </c>
      <c r="G364" s="11">
        <f>(FCV)*208.15</f>
        <v>208.15</v>
      </c>
    </row>
    <row r="365" spans="1:7" x14ac:dyDescent="0.2">
      <c r="A365" s="8" t="s">
        <v>4884</v>
      </c>
      <c r="B365" s="8">
        <v>22</v>
      </c>
      <c r="C365" s="8">
        <v>200</v>
      </c>
      <c r="D365" s="8">
        <v>1600</v>
      </c>
      <c r="E365" s="2" t="s">
        <v>4885</v>
      </c>
      <c r="F365" s="10">
        <v>208.15</v>
      </c>
      <c r="G365" s="11">
        <f>(FCV)*208.15</f>
        <v>208.15</v>
      </c>
    </row>
    <row r="366" spans="1:7" x14ac:dyDescent="0.2">
      <c r="A366" s="8" t="s">
        <v>3634</v>
      </c>
      <c r="B366" s="8">
        <v>22</v>
      </c>
      <c r="C366" s="8">
        <v>200</v>
      </c>
      <c r="D366" s="8">
        <v>1800</v>
      </c>
      <c r="E366" s="2" t="s">
        <v>3635</v>
      </c>
      <c r="F366" s="10">
        <v>225.81</v>
      </c>
      <c r="G366" s="11">
        <f>(FCV)*225.81</f>
        <v>225.81</v>
      </c>
    </row>
    <row r="367" spans="1:7" x14ac:dyDescent="0.2">
      <c r="A367" s="8" t="s">
        <v>4886</v>
      </c>
      <c r="B367" s="8">
        <v>22</v>
      </c>
      <c r="C367" s="8">
        <v>200</v>
      </c>
      <c r="D367" s="8">
        <v>1800</v>
      </c>
      <c r="E367" s="2" t="s">
        <v>4887</v>
      </c>
      <c r="F367" s="10">
        <v>225.81</v>
      </c>
      <c r="G367" s="11">
        <f>(FCV)*225.81</f>
        <v>225.81</v>
      </c>
    </row>
    <row r="368" spans="1:7" x14ac:dyDescent="0.2">
      <c r="A368" s="8" t="s">
        <v>3636</v>
      </c>
      <c r="B368" s="8">
        <v>22</v>
      </c>
      <c r="C368" s="8">
        <v>200</v>
      </c>
      <c r="D368" s="8">
        <v>2000</v>
      </c>
      <c r="E368" s="2" t="s">
        <v>3637</v>
      </c>
      <c r="F368" s="10">
        <v>243</v>
      </c>
      <c r="G368" s="11">
        <f>(FCV)*243</f>
        <v>243</v>
      </c>
    </row>
    <row r="369" spans="1:7" x14ac:dyDescent="0.2">
      <c r="A369" s="8" t="s">
        <v>4888</v>
      </c>
      <c r="B369" s="8">
        <v>22</v>
      </c>
      <c r="C369" s="8">
        <v>200</v>
      </c>
      <c r="D369" s="8">
        <v>2000</v>
      </c>
      <c r="E369" s="2" t="s">
        <v>4889</v>
      </c>
      <c r="F369" s="10">
        <v>243</v>
      </c>
      <c r="G369" s="11">
        <f>(FCV)*243</f>
        <v>243</v>
      </c>
    </row>
    <row r="370" spans="1:7" x14ac:dyDescent="0.2">
      <c r="A370" s="8" t="s">
        <v>3638</v>
      </c>
      <c r="B370" s="8">
        <v>22</v>
      </c>
      <c r="C370" s="8">
        <v>200</v>
      </c>
      <c r="D370" s="8">
        <v>2300</v>
      </c>
      <c r="E370" s="2" t="s">
        <v>3639</v>
      </c>
      <c r="F370" s="10">
        <v>269.07</v>
      </c>
      <c r="G370" s="11">
        <f>(FCV)*269.07</f>
        <v>269.07</v>
      </c>
    </row>
    <row r="371" spans="1:7" x14ac:dyDescent="0.2">
      <c r="A371" s="8" t="s">
        <v>4890</v>
      </c>
      <c r="B371" s="8">
        <v>22</v>
      </c>
      <c r="C371" s="8">
        <v>200</v>
      </c>
      <c r="D371" s="8">
        <v>2300</v>
      </c>
      <c r="E371" s="2" t="s">
        <v>4891</v>
      </c>
      <c r="F371" s="10">
        <v>269.07</v>
      </c>
      <c r="G371" s="11">
        <f>(FCV)*269.07</f>
        <v>269.07</v>
      </c>
    </row>
    <row r="372" spans="1:7" x14ac:dyDescent="0.2">
      <c r="A372" s="8" t="s">
        <v>3640</v>
      </c>
      <c r="B372" s="8">
        <v>22</v>
      </c>
      <c r="C372" s="8">
        <v>200</v>
      </c>
      <c r="D372" s="8">
        <v>2600</v>
      </c>
      <c r="E372" s="2" t="s">
        <v>3641</v>
      </c>
      <c r="F372" s="10">
        <v>294.99</v>
      </c>
      <c r="G372" s="11">
        <f>(FCV)*294.99</f>
        <v>294.99</v>
      </c>
    </row>
    <row r="373" spans="1:7" x14ac:dyDescent="0.2">
      <c r="A373" s="8" t="s">
        <v>4892</v>
      </c>
      <c r="B373" s="8">
        <v>22</v>
      </c>
      <c r="C373" s="8">
        <v>200</v>
      </c>
      <c r="D373" s="8">
        <v>2600</v>
      </c>
      <c r="E373" s="2" t="s">
        <v>4893</v>
      </c>
      <c r="F373" s="10">
        <v>294.99</v>
      </c>
      <c r="G373" s="11">
        <f>(FCV)*294.99</f>
        <v>294.99</v>
      </c>
    </row>
    <row r="374" spans="1:7" x14ac:dyDescent="0.2">
      <c r="A374" s="8" t="s">
        <v>3642</v>
      </c>
      <c r="B374" s="8">
        <v>22</v>
      </c>
      <c r="C374" s="8">
        <v>200</v>
      </c>
      <c r="D374" s="8">
        <v>3000</v>
      </c>
      <c r="E374" s="2" t="s">
        <v>3643</v>
      </c>
      <c r="F374" s="10">
        <v>329.62</v>
      </c>
      <c r="G374" s="11">
        <f>(FCV)*329.62</f>
        <v>329.62</v>
      </c>
    </row>
    <row r="375" spans="1:7" x14ac:dyDescent="0.2">
      <c r="A375" s="8" t="s">
        <v>4894</v>
      </c>
      <c r="B375" s="8">
        <v>22</v>
      </c>
      <c r="C375" s="8">
        <v>200</v>
      </c>
      <c r="D375" s="8">
        <v>3000</v>
      </c>
      <c r="E375" s="2" t="s">
        <v>4895</v>
      </c>
      <c r="F375" s="10">
        <v>329.62</v>
      </c>
      <c r="G375" s="11">
        <f>(FCV)*329.62</f>
        <v>329.62</v>
      </c>
    </row>
    <row r="376" spans="1:7" x14ac:dyDescent="0.2">
      <c r="A376" s="8" t="s">
        <v>3644</v>
      </c>
      <c r="B376" s="8">
        <v>22</v>
      </c>
      <c r="C376" s="8">
        <v>300</v>
      </c>
      <c r="D376" s="8">
        <v>400</v>
      </c>
      <c r="E376" s="2" t="s">
        <v>3645</v>
      </c>
      <c r="F376" s="10">
        <v>127.28</v>
      </c>
      <c r="G376" s="11">
        <f>(FCV)*127.28</f>
        <v>127.28</v>
      </c>
    </row>
    <row r="377" spans="1:7" x14ac:dyDescent="0.2">
      <c r="A377" s="8" t="s">
        <v>4896</v>
      </c>
      <c r="B377" s="8">
        <v>22</v>
      </c>
      <c r="C377" s="8">
        <v>300</v>
      </c>
      <c r="D377" s="8">
        <v>400</v>
      </c>
      <c r="E377" s="2" t="s">
        <v>4897</v>
      </c>
      <c r="F377" s="10">
        <v>127.28</v>
      </c>
      <c r="G377" s="11">
        <f>(FCV)*127.28</f>
        <v>127.28</v>
      </c>
    </row>
    <row r="378" spans="1:7" x14ac:dyDescent="0.2">
      <c r="A378" s="8" t="s">
        <v>3646</v>
      </c>
      <c r="B378" s="8">
        <v>22</v>
      </c>
      <c r="C378" s="8">
        <v>300</v>
      </c>
      <c r="D378" s="8">
        <v>500</v>
      </c>
      <c r="E378" s="2" t="s">
        <v>3647</v>
      </c>
      <c r="F378" s="10">
        <v>140.54</v>
      </c>
      <c r="G378" s="11">
        <f>(FCV)*140.54</f>
        <v>140.54</v>
      </c>
    </row>
    <row r="379" spans="1:7" x14ac:dyDescent="0.2">
      <c r="A379" s="8" t="s">
        <v>4898</v>
      </c>
      <c r="B379" s="8">
        <v>22</v>
      </c>
      <c r="C379" s="8">
        <v>300</v>
      </c>
      <c r="D379" s="8">
        <v>500</v>
      </c>
      <c r="E379" s="2" t="s">
        <v>4899</v>
      </c>
      <c r="F379" s="10">
        <v>140.54</v>
      </c>
      <c r="G379" s="11">
        <f>(FCV)*140.54</f>
        <v>140.54</v>
      </c>
    </row>
    <row r="380" spans="1:7" x14ac:dyDescent="0.2">
      <c r="A380" s="8" t="s">
        <v>3648</v>
      </c>
      <c r="B380" s="8">
        <v>22</v>
      </c>
      <c r="C380" s="8">
        <v>300</v>
      </c>
      <c r="D380" s="8">
        <v>600</v>
      </c>
      <c r="E380" s="2" t="s">
        <v>3649</v>
      </c>
      <c r="F380" s="10">
        <v>152.44999999999999</v>
      </c>
      <c r="G380" s="11">
        <f>(FCV)*152.45</f>
        <v>152.44999999999999</v>
      </c>
    </row>
    <row r="381" spans="1:7" x14ac:dyDescent="0.2">
      <c r="A381" s="8" t="s">
        <v>4900</v>
      </c>
      <c r="B381" s="8">
        <v>22</v>
      </c>
      <c r="C381" s="8">
        <v>300</v>
      </c>
      <c r="D381" s="8">
        <v>600</v>
      </c>
      <c r="E381" s="2" t="s">
        <v>4901</v>
      </c>
      <c r="F381" s="10">
        <v>152.44999999999999</v>
      </c>
      <c r="G381" s="11">
        <f>(FCV)*152.45</f>
        <v>152.44999999999999</v>
      </c>
    </row>
    <row r="382" spans="1:7" x14ac:dyDescent="0.2">
      <c r="A382" s="8" t="s">
        <v>3650</v>
      </c>
      <c r="B382" s="8">
        <v>22</v>
      </c>
      <c r="C382" s="8">
        <v>300</v>
      </c>
      <c r="D382" s="8">
        <v>700</v>
      </c>
      <c r="E382" s="2" t="s">
        <v>3651</v>
      </c>
      <c r="F382" s="10">
        <v>162.5</v>
      </c>
      <c r="G382" s="11">
        <f>(FCV)*162.5</f>
        <v>162.5</v>
      </c>
    </row>
    <row r="383" spans="1:7" x14ac:dyDescent="0.2">
      <c r="A383" s="8" t="s">
        <v>4902</v>
      </c>
      <c r="B383" s="8">
        <v>22</v>
      </c>
      <c r="C383" s="8">
        <v>300</v>
      </c>
      <c r="D383" s="8">
        <v>700</v>
      </c>
      <c r="E383" s="2" t="s">
        <v>4903</v>
      </c>
      <c r="F383" s="10">
        <v>162.5</v>
      </c>
      <c r="G383" s="11">
        <f>(FCV)*162.5</f>
        <v>162.5</v>
      </c>
    </row>
    <row r="384" spans="1:7" x14ac:dyDescent="0.2">
      <c r="A384" s="8" t="s">
        <v>3652</v>
      </c>
      <c r="B384" s="8">
        <v>22</v>
      </c>
      <c r="C384" s="8">
        <v>300</v>
      </c>
      <c r="D384" s="8">
        <v>800</v>
      </c>
      <c r="E384" s="2" t="s">
        <v>3653</v>
      </c>
      <c r="F384" s="10">
        <v>173</v>
      </c>
      <c r="G384" s="11">
        <f>(FCV)*173</f>
        <v>173</v>
      </c>
    </row>
    <row r="385" spans="1:7" x14ac:dyDescent="0.2">
      <c r="A385" s="8" t="s">
        <v>4904</v>
      </c>
      <c r="B385" s="8">
        <v>22</v>
      </c>
      <c r="C385" s="8">
        <v>300</v>
      </c>
      <c r="D385" s="8">
        <v>800</v>
      </c>
      <c r="E385" s="2" t="s">
        <v>4905</v>
      </c>
      <c r="F385" s="10">
        <v>173</v>
      </c>
      <c r="G385" s="11">
        <f>(FCV)*173</f>
        <v>173</v>
      </c>
    </row>
    <row r="386" spans="1:7" x14ac:dyDescent="0.2">
      <c r="A386" s="8" t="s">
        <v>3654</v>
      </c>
      <c r="B386" s="8">
        <v>22</v>
      </c>
      <c r="C386" s="8">
        <v>300</v>
      </c>
      <c r="D386" s="8">
        <v>900</v>
      </c>
      <c r="E386" s="2" t="s">
        <v>3655</v>
      </c>
      <c r="F386" s="10">
        <v>183.05</v>
      </c>
      <c r="G386" s="11">
        <f>(FCV)*183.05</f>
        <v>183.05</v>
      </c>
    </row>
    <row r="387" spans="1:7" x14ac:dyDescent="0.2">
      <c r="A387" s="8" t="s">
        <v>4906</v>
      </c>
      <c r="B387" s="8">
        <v>22</v>
      </c>
      <c r="C387" s="8">
        <v>300</v>
      </c>
      <c r="D387" s="8">
        <v>900</v>
      </c>
      <c r="E387" s="2" t="s">
        <v>4907</v>
      </c>
      <c r="F387" s="10">
        <v>183.05</v>
      </c>
      <c r="G387" s="11">
        <f>(FCV)*183.05</f>
        <v>183.05</v>
      </c>
    </row>
    <row r="388" spans="1:7" x14ac:dyDescent="0.2">
      <c r="A388" s="8" t="s">
        <v>3656</v>
      </c>
      <c r="B388" s="8">
        <v>22</v>
      </c>
      <c r="C388" s="8">
        <v>300</v>
      </c>
      <c r="D388" s="8">
        <v>1000</v>
      </c>
      <c r="E388" s="2" t="s">
        <v>3657</v>
      </c>
      <c r="F388" s="10">
        <v>193.31</v>
      </c>
      <c r="G388" s="11">
        <f>(FCV)*193.31</f>
        <v>193.31</v>
      </c>
    </row>
    <row r="389" spans="1:7" x14ac:dyDescent="0.2">
      <c r="A389" s="8" t="s">
        <v>4908</v>
      </c>
      <c r="B389" s="8">
        <v>22</v>
      </c>
      <c r="C389" s="8">
        <v>300</v>
      </c>
      <c r="D389" s="8">
        <v>1000</v>
      </c>
      <c r="E389" s="2" t="s">
        <v>4909</v>
      </c>
      <c r="F389" s="10">
        <v>193.31</v>
      </c>
      <c r="G389" s="11">
        <f>(FCV)*193.31</f>
        <v>193.31</v>
      </c>
    </row>
    <row r="390" spans="1:7" x14ac:dyDescent="0.2">
      <c r="A390" s="8" t="s">
        <v>3658</v>
      </c>
      <c r="B390" s="8">
        <v>22</v>
      </c>
      <c r="C390" s="8">
        <v>300</v>
      </c>
      <c r="D390" s="8">
        <v>1100</v>
      </c>
      <c r="E390" s="2" t="s">
        <v>3659</v>
      </c>
      <c r="F390" s="10">
        <v>203.24</v>
      </c>
      <c r="G390" s="11">
        <f>(FCV)*203.24</f>
        <v>203.24</v>
      </c>
    </row>
    <row r="391" spans="1:7" x14ac:dyDescent="0.2">
      <c r="A391" s="8" t="s">
        <v>4910</v>
      </c>
      <c r="B391" s="8">
        <v>22</v>
      </c>
      <c r="C391" s="8">
        <v>300</v>
      </c>
      <c r="D391" s="8">
        <v>1100</v>
      </c>
      <c r="E391" s="2" t="s">
        <v>4911</v>
      </c>
      <c r="F391" s="10">
        <v>203.24</v>
      </c>
      <c r="G391" s="11">
        <f>(FCV)*203.24</f>
        <v>203.24</v>
      </c>
    </row>
    <row r="392" spans="1:7" x14ac:dyDescent="0.2">
      <c r="A392" s="8" t="s">
        <v>3660</v>
      </c>
      <c r="B392" s="8">
        <v>22</v>
      </c>
      <c r="C392" s="8">
        <v>300</v>
      </c>
      <c r="D392" s="8">
        <v>1200</v>
      </c>
      <c r="E392" s="2" t="s">
        <v>3661</v>
      </c>
      <c r="F392" s="10">
        <v>212.96</v>
      </c>
      <c r="G392" s="11">
        <f>(FCV)*212.96</f>
        <v>212.96</v>
      </c>
    </row>
    <row r="393" spans="1:7" x14ac:dyDescent="0.2">
      <c r="A393" s="8" t="s">
        <v>4912</v>
      </c>
      <c r="B393" s="8">
        <v>22</v>
      </c>
      <c r="C393" s="8">
        <v>300</v>
      </c>
      <c r="D393" s="8">
        <v>1200</v>
      </c>
      <c r="E393" s="2" t="s">
        <v>4913</v>
      </c>
      <c r="F393" s="10">
        <v>212.96</v>
      </c>
      <c r="G393" s="11">
        <f>(FCV)*212.96</f>
        <v>212.96</v>
      </c>
    </row>
    <row r="394" spans="1:7" x14ac:dyDescent="0.2">
      <c r="A394" s="8" t="s">
        <v>3662</v>
      </c>
      <c r="B394" s="8">
        <v>22</v>
      </c>
      <c r="C394" s="8">
        <v>300</v>
      </c>
      <c r="D394" s="8">
        <v>1400</v>
      </c>
      <c r="E394" s="2" t="s">
        <v>3663</v>
      </c>
      <c r="F394" s="10">
        <v>233.14</v>
      </c>
      <c r="G394" s="11">
        <f>(FCV)*233.14</f>
        <v>233.14</v>
      </c>
    </row>
    <row r="395" spans="1:7" x14ac:dyDescent="0.2">
      <c r="A395" s="8" t="s">
        <v>4914</v>
      </c>
      <c r="B395" s="8">
        <v>22</v>
      </c>
      <c r="C395" s="8">
        <v>300</v>
      </c>
      <c r="D395" s="8">
        <v>1400</v>
      </c>
      <c r="E395" s="2" t="s">
        <v>4915</v>
      </c>
      <c r="F395" s="10">
        <v>233.14</v>
      </c>
      <c r="G395" s="11">
        <f>(FCV)*233.14</f>
        <v>233.14</v>
      </c>
    </row>
    <row r="396" spans="1:7" x14ac:dyDescent="0.2">
      <c r="A396" s="8" t="s">
        <v>3664</v>
      </c>
      <c r="B396" s="8">
        <v>22</v>
      </c>
      <c r="C396" s="8">
        <v>300</v>
      </c>
      <c r="D396" s="8">
        <v>1600</v>
      </c>
      <c r="E396" s="2" t="s">
        <v>3665</v>
      </c>
      <c r="F396" s="10">
        <v>253.35</v>
      </c>
      <c r="G396" s="11">
        <f>(FCV)*253.35</f>
        <v>253.35</v>
      </c>
    </row>
    <row r="397" spans="1:7" x14ac:dyDescent="0.2">
      <c r="A397" s="8" t="s">
        <v>4916</v>
      </c>
      <c r="B397" s="8">
        <v>22</v>
      </c>
      <c r="C397" s="8">
        <v>300</v>
      </c>
      <c r="D397" s="8">
        <v>1600</v>
      </c>
      <c r="E397" s="2" t="s">
        <v>4917</v>
      </c>
      <c r="F397" s="10">
        <v>253.35</v>
      </c>
      <c r="G397" s="11">
        <f>(FCV)*253.35</f>
        <v>253.35</v>
      </c>
    </row>
    <row r="398" spans="1:7" x14ac:dyDescent="0.2">
      <c r="A398" s="8" t="s">
        <v>3666</v>
      </c>
      <c r="B398" s="8">
        <v>22</v>
      </c>
      <c r="C398" s="8">
        <v>300</v>
      </c>
      <c r="D398" s="8">
        <v>1800</v>
      </c>
      <c r="E398" s="2" t="s">
        <v>3667</v>
      </c>
      <c r="F398" s="10">
        <v>274</v>
      </c>
      <c r="G398" s="11">
        <f>(FCV)*274</f>
        <v>274</v>
      </c>
    </row>
    <row r="399" spans="1:7" x14ac:dyDescent="0.2">
      <c r="A399" s="8" t="s">
        <v>4918</v>
      </c>
      <c r="B399" s="8">
        <v>22</v>
      </c>
      <c r="C399" s="8">
        <v>300</v>
      </c>
      <c r="D399" s="8">
        <v>1800</v>
      </c>
      <c r="E399" s="2" t="s">
        <v>4919</v>
      </c>
      <c r="F399" s="10">
        <v>274</v>
      </c>
      <c r="G399" s="11">
        <f>(FCV)*274</f>
        <v>274</v>
      </c>
    </row>
    <row r="400" spans="1:7" x14ac:dyDescent="0.2">
      <c r="A400" s="8" t="s">
        <v>3668</v>
      </c>
      <c r="B400" s="8">
        <v>22</v>
      </c>
      <c r="C400" s="8">
        <v>300</v>
      </c>
      <c r="D400" s="8">
        <v>2000</v>
      </c>
      <c r="E400" s="2" t="s">
        <v>3669</v>
      </c>
      <c r="F400" s="10">
        <v>294.08999999999997</v>
      </c>
      <c r="G400" s="11">
        <f>(FCV)*294.09</f>
        <v>294.08999999999997</v>
      </c>
    </row>
    <row r="401" spans="1:7" x14ac:dyDescent="0.2">
      <c r="A401" s="8" t="s">
        <v>4920</v>
      </c>
      <c r="B401" s="8">
        <v>22</v>
      </c>
      <c r="C401" s="8">
        <v>300</v>
      </c>
      <c r="D401" s="8">
        <v>2000</v>
      </c>
      <c r="E401" s="2" t="s">
        <v>4921</v>
      </c>
      <c r="F401" s="10">
        <v>294.08999999999997</v>
      </c>
      <c r="G401" s="11">
        <f>(FCV)*294.09</f>
        <v>294.08999999999997</v>
      </c>
    </row>
    <row r="402" spans="1:7" x14ac:dyDescent="0.2">
      <c r="A402" s="8" t="s">
        <v>3670</v>
      </c>
      <c r="B402" s="8">
        <v>22</v>
      </c>
      <c r="C402" s="8">
        <v>300</v>
      </c>
      <c r="D402" s="8">
        <v>2300</v>
      </c>
      <c r="E402" s="2" t="s">
        <v>3671</v>
      </c>
      <c r="F402" s="10">
        <v>324.44</v>
      </c>
      <c r="G402" s="11">
        <f>(FCV)*324.44</f>
        <v>324.44</v>
      </c>
    </row>
    <row r="403" spans="1:7" x14ac:dyDescent="0.2">
      <c r="A403" s="8" t="s">
        <v>4922</v>
      </c>
      <c r="B403" s="8">
        <v>22</v>
      </c>
      <c r="C403" s="8">
        <v>300</v>
      </c>
      <c r="D403" s="8">
        <v>2300</v>
      </c>
      <c r="E403" s="2" t="s">
        <v>4923</v>
      </c>
      <c r="F403" s="10">
        <v>324.44</v>
      </c>
      <c r="G403" s="11">
        <f>(FCV)*324.44</f>
        <v>324.44</v>
      </c>
    </row>
    <row r="404" spans="1:7" x14ac:dyDescent="0.2">
      <c r="A404" s="8" t="s">
        <v>3672</v>
      </c>
      <c r="B404" s="8">
        <v>22</v>
      </c>
      <c r="C404" s="8">
        <v>300</v>
      </c>
      <c r="D404" s="8">
        <v>2600</v>
      </c>
      <c r="E404" s="2" t="s">
        <v>3673</v>
      </c>
      <c r="F404" s="10">
        <v>354.7</v>
      </c>
      <c r="G404" s="11">
        <f>(FCV)*354.7</f>
        <v>354.7</v>
      </c>
    </row>
    <row r="405" spans="1:7" x14ac:dyDescent="0.2">
      <c r="A405" s="8" t="s">
        <v>4924</v>
      </c>
      <c r="B405" s="8">
        <v>22</v>
      </c>
      <c r="C405" s="8">
        <v>300</v>
      </c>
      <c r="D405" s="8">
        <v>2600</v>
      </c>
      <c r="E405" s="2" t="s">
        <v>4925</v>
      </c>
      <c r="F405" s="10">
        <v>354.7</v>
      </c>
      <c r="G405" s="11">
        <f>(FCV)*354.7</f>
        <v>354.7</v>
      </c>
    </row>
    <row r="406" spans="1:7" x14ac:dyDescent="0.2">
      <c r="A406" s="8" t="s">
        <v>3674</v>
      </c>
      <c r="B406" s="8">
        <v>22</v>
      </c>
      <c r="C406" s="8">
        <v>300</v>
      </c>
      <c r="D406" s="8">
        <v>3000</v>
      </c>
      <c r="E406" s="2" t="s">
        <v>3675</v>
      </c>
      <c r="F406" s="10">
        <v>395.2</v>
      </c>
      <c r="G406" s="11">
        <f>(FCV)*395.2</f>
        <v>395.2</v>
      </c>
    </row>
    <row r="407" spans="1:7" x14ac:dyDescent="0.2">
      <c r="A407" s="8" t="s">
        <v>4926</v>
      </c>
      <c r="B407" s="8">
        <v>22</v>
      </c>
      <c r="C407" s="8">
        <v>300</v>
      </c>
      <c r="D407" s="8">
        <v>3000</v>
      </c>
      <c r="E407" s="2" t="s">
        <v>4927</v>
      </c>
      <c r="F407" s="10">
        <v>395.2</v>
      </c>
      <c r="G407" s="11">
        <f>(FCV)*395.2</f>
        <v>395.2</v>
      </c>
    </row>
    <row r="408" spans="1:7" x14ac:dyDescent="0.2">
      <c r="A408" s="8" t="s">
        <v>3676</v>
      </c>
      <c r="B408" s="8">
        <v>22</v>
      </c>
      <c r="C408" s="8">
        <v>400</v>
      </c>
      <c r="D408" s="8">
        <v>400</v>
      </c>
      <c r="E408" s="2" t="s">
        <v>3677</v>
      </c>
      <c r="F408" s="10">
        <v>137.44999999999999</v>
      </c>
      <c r="G408" s="11">
        <f>(FCV)*137.45</f>
        <v>137.44999999999999</v>
      </c>
    </row>
    <row r="409" spans="1:7" x14ac:dyDescent="0.2">
      <c r="A409" s="8" t="s">
        <v>4928</v>
      </c>
      <c r="B409" s="8">
        <v>22</v>
      </c>
      <c r="C409" s="8">
        <v>400</v>
      </c>
      <c r="D409" s="8">
        <v>400</v>
      </c>
      <c r="E409" s="2" t="s">
        <v>4929</v>
      </c>
      <c r="F409" s="10">
        <v>137.44999999999999</v>
      </c>
      <c r="G409" s="11">
        <f>(FCV)*137.45</f>
        <v>137.44999999999999</v>
      </c>
    </row>
    <row r="410" spans="1:7" x14ac:dyDescent="0.2">
      <c r="A410" s="8" t="s">
        <v>3678</v>
      </c>
      <c r="B410" s="8">
        <v>22</v>
      </c>
      <c r="C410" s="8">
        <v>400</v>
      </c>
      <c r="D410" s="8">
        <v>500</v>
      </c>
      <c r="E410" s="2" t="s">
        <v>3679</v>
      </c>
      <c r="F410" s="10">
        <v>149.57</v>
      </c>
      <c r="G410" s="11">
        <f>(FCV)*149.57</f>
        <v>149.57</v>
      </c>
    </row>
    <row r="411" spans="1:7" x14ac:dyDescent="0.2">
      <c r="A411" s="8" t="s">
        <v>4930</v>
      </c>
      <c r="B411" s="8">
        <v>22</v>
      </c>
      <c r="C411" s="8">
        <v>400</v>
      </c>
      <c r="D411" s="8">
        <v>500</v>
      </c>
      <c r="E411" s="2" t="s">
        <v>4931</v>
      </c>
      <c r="F411" s="10">
        <v>149.57</v>
      </c>
      <c r="G411" s="11">
        <f>(FCV)*149.57</f>
        <v>149.57</v>
      </c>
    </row>
    <row r="412" spans="1:7" x14ac:dyDescent="0.2">
      <c r="A412" s="8" t="s">
        <v>3680</v>
      </c>
      <c r="B412" s="8">
        <v>22</v>
      </c>
      <c r="C412" s="8">
        <v>400</v>
      </c>
      <c r="D412" s="8">
        <v>600</v>
      </c>
      <c r="E412" s="2" t="s">
        <v>3681</v>
      </c>
      <c r="F412" s="10">
        <v>162.05000000000001</v>
      </c>
      <c r="G412" s="11">
        <f>(FCV)*162.05</f>
        <v>162.05000000000001</v>
      </c>
    </row>
    <row r="413" spans="1:7" x14ac:dyDescent="0.2">
      <c r="A413" s="8" t="s">
        <v>4932</v>
      </c>
      <c r="B413" s="8">
        <v>22</v>
      </c>
      <c r="C413" s="8">
        <v>400</v>
      </c>
      <c r="D413" s="8">
        <v>600</v>
      </c>
      <c r="E413" s="2" t="s">
        <v>4933</v>
      </c>
      <c r="F413" s="10">
        <v>162.05000000000001</v>
      </c>
      <c r="G413" s="11">
        <f>(FCV)*162.05</f>
        <v>162.05000000000001</v>
      </c>
    </row>
    <row r="414" spans="1:7" x14ac:dyDescent="0.2">
      <c r="A414" s="8" t="s">
        <v>3682</v>
      </c>
      <c r="B414" s="8">
        <v>22</v>
      </c>
      <c r="C414" s="8">
        <v>400</v>
      </c>
      <c r="D414" s="8">
        <v>700</v>
      </c>
      <c r="E414" s="2" t="s">
        <v>3683</v>
      </c>
      <c r="F414" s="10">
        <v>174.31</v>
      </c>
      <c r="G414" s="11">
        <f>(FCV)*174.31</f>
        <v>174.31</v>
      </c>
    </row>
    <row r="415" spans="1:7" x14ac:dyDescent="0.2">
      <c r="A415" s="8" t="s">
        <v>4934</v>
      </c>
      <c r="B415" s="8">
        <v>22</v>
      </c>
      <c r="C415" s="8">
        <v>400</v>
      </c>
      <c r="D415" s="8">
        <v>700</v>
      </c>
      <c r="E415" s="2" t="s">
        <v>4935</v>
      </c>
      <c r="F415" s="10">
        <v>174.31</v>
      </c>
      <c r="G415" s="11">
        <f>(FCV)*174.31</f>
        <v>174.31</v>
      </c>
    </row>
    <row r="416" spans="1:7" x14ac:dyDescent="0.2">
      <c r="A416" s="8" t="s">
        <v>3684</v>
      </c>
      <c r="B416" s="8">
        <v>22</v>
      </c>
      <c r="C416" s="8">
        <v>400</v>
      </c>
      <c r="D416" s="8">
        <v>800</v>
      </c>
      <c r="E416" s="2" t="s">
        <v>3685</v>
      </c>
      <c r="F416" s="10">
        <v>186.24</v>
      </c>
      <c r="G416" s="11">
        <f>(FCV)*186.24</f>
        <v>186.24</v>
      </c>
    </row>
    <row r="417" spans="1:7" x14ac:dyDescent="0.2">
      <c r="A417" s="8" t="s">
        <v>4936</v>
      </c>
      <c r="B417" s="8">
        <v>22</v>
      </c>
      <c r="C417" s="8">
        <v>400</v>
      </c>
      <c r="D417" s="8">
        <v>800</v>
      </c>
      <c r="E417" s="2" t="s">
        <v>4937</v>
      </c>
      <c r="F417" s="10">
        <v>186.24</v>
      </c>
      <c r="G417" s="11">
        <f>(FCV)*186.24</f>
        <v>186.24</v>
      </c>
    </row>
    <row r="418" spans="1:7" x14ac:dyDescent="0.2">
      <c r="A418" s="8" t="s">
        <v>3686</v>
      </c>
      <c r="B418" s="8">
        <v>22</v>
      </c>
      <c r="C418" s="8">
        <v>400</v>
      </c>
      <c r="D418" s="8">
        <v>900</v>
      </c>
      <c r="E418" s="2" t="s">
        <v>3687</v>
      </c>
      <c r="F418" s="10">
        <v>198.39</v>
      </c>
      <c r="G418" s="11">
        <f>(FCV)*198.39</f>
        <v>198.39</v>
      </c>
    </row>
    <row r="419" spans="1:7" x14ac:dyDescent="0.2">
      <c r="A419" s="8" t="s">
        <v>4938</v>
      </c>
      <c r="B419" s="8">
        <v>22</v>
      </c>
      <c r="C419" s="8">
        <v>400</v>
      </c>
      <c r="D419" s="8">
        <v>900</v>
      </c>
      <c r="E419" s="2" t="s">
        <v>4939</v>
      </c>
      <c r="F419" s="10">
        <v>198.39</v>
      </c>
      <c r="G419" s="11">
        <f>(FCV)*198.39</f>
        <v>198.39</v>
      </c>
    </row>
    <row r="420" spans="1:7" x14ac:dyDescent="0.2">
      <c r="A420" s="8" t="s">
        <v>3688</v>
      </c>
      <c r="B420" s="8">
        <v>22</v>
      </c>
      <c r="C420" s="8">
        <v>400</v>
      </c>
      <c r="D420" s="8">
        <v>1000</v>
      </c>
      <c r="E420" s="2" t="s">
        <v>3689</v>
      </c>
      <c r="F420" s="10">
        <v>210.41</v>
      </c>
      <c r="G420" s="11">
        <f>(FCV)*210.41</f>
        <v>210.41</v>
      </c>
    </row>
    <row r="421" spans="1:7" x14ac:dyDescent="0.2">
      <c r="A421" s="8" t="s">
        <v>4940</v>
      </c>
      <c r="B421" s="8">
        <v>22</v>
      </c>
      <c r="C421" s="8">
        <v>400</v>
      </c>
      <c r="D421" s="8">
        <v>1000</v>
      </c>
      <c r="E421" s="2" t="s">
        <v>4941</v>
      </c>
      <c r="F421" s="10">
        <v>210.41</v>
      </c>
      <c r="G421" s="11">
        <f>(FCV)*210.41</f>
        <v>210.41</v>
      </c>
    </row>
    <row r="422" spans="1:7" x14ac:dyDescent="0.2">
      <c r="A422" s="8" t="s">
        <v>3690</v>
      </c>
      <c r="B422" s="8">
        <v>22</v>
      </c>
      <c r="C422" s="8">
        <v>400</v>
      </c>
      <c r="D422" s="8">
        <v>1100</v>
      </c>
      <c r="E422" s="2" t="s">
        <v>3691</v>
      </c>
      <c r="F422" s="10">
        <v>223.11</v>
      </c>
      <c r="G422" s="11">
        <f>(FCV)*223.11</f>
        <v>223.11</v>
      </c>
    </row>
    <row r="423" spans="1:7" x14ac:dyDescent="0.2">
      <c r="A423" s="8" t="s">
        <v>4942</v>
      </c>
      <c r="B423" s="8">
        <v>22</v>
      </c>
      <c r="C423" s="8">
        <v>400</v>
      </c>
      <c r="D423" s="8">
        <v>1100</v>
      </c>
      <c r="E423" s="2" t="s">
        <v>4943</v>
      </c>
      <c r="F423" s="10">
        <v>223.11</v>
      </c>
      <c r="G423" s="11">
        <f>(FCV)*223.11</f>
        <v>223.11</v>
      </c>
    </row>
    <row r="424" spans="1:7" x14ac:dyDescent="0.2">
      <c r="A424" s="8" t="s">
        <v>3692</v>
      </c>
      <c r="B424" s="8">
        <v>22</v>
      </c>
      <c r="C424" s="8">
        <v>400</v>
      </c>
      <c r="D424" s="8">
        <v>1200</v>
      </c>
      <c r="E424" s="2" t="s">
        <v>3693</v>
      </c>
      <c r="F424" s="10">
        <v>235.36</v>
      </c>
      <c r="G424" s="11">
        <f>(FCV)*235.36</f>
        <v>235.36</v>
      </c>
    </row>
    <row r="425" spans="1:7" x14ac:dyDescent="0.2">
      <c r="A425" s="8" t="s">
        <v>4944</v>
      </c>
      <c r="B425" s="8">
        <v>22</v>
      </c>
      <c r="C425" s="8">
        <v>400</v>
      </c>
      <c r="D425" s="8">
        <v>1200</v>
      </c>
      <c r="E425" s="2" t="s">
        <v>4945</v>
      </c>
      <c r="F425" s="10">
        <v>235.36</v>
      </c>
      <c r="G425" s="11">
        <f>(FCV)*235.36</f>
        <v>235.36</v>
      </c>
    </row>
    <row r="426" spans="1:7" x14ac:dyDescent="0.2">
      <c r="A426" s="8" t="s">
        <v>3694</v>
      </c>
      <c r="B426" s="8">
        <v>22</v>
      </c>
      <c r="C426" s="8">
        <v>400</v>
      </c>
      <c r="D426" s="8">
        <v>1400</v>
      </c>
      <c r="E426" s="2" t="s">
        <v>3695</v>
      </c>
      <c r="F426" s="10">
        <v>259.97000000000003</v>
      </c>
      <c r="G426" s="11">
        <f>(FCV)*259.97</f>
        <v>259.97000000000003</v>
      </c>
    </row>
    <row r="427" spans="1:7" x14ac:dyDescent="0.2">
      <c r="A427" s="8" t="s">
        <v>4946</v>
      </c>
      <c r="B427" s="8">
        <v>22</v>
      </c>
      <c r="C427" s="8">
        <v>400</v>
      </c>
      <c r="D427" s="8">
        <v>1400</v>
      </c>
      <c r="E427" s="2" t="s">
        <v>4947</v>
      </c>
      <c r="F427" s="10">
        <v>259.97000000000003</v>
      </c>
      <c r="G427" s="11">
        <f>(FCV)*259.97</f>
        <v>259.97000000000003</v>
      </c>
    </row>
    <row r="428" spans="1:7" x14ac:dyDescent="0.2">
      <c r="A428" s="8" t="s">
        <v>3696</v>
      </c>
      <c r="B428" s="8">
        <v>22</v>
      </c>
      <c r="C428" s="8">
        <v>400</v>
      </c>
      <c r="D428" s="8">
        <v>1600</v>
      </c>
      <c r="E428" s="2" t="s">
        <v>3697</v>
      </c>
      <c r="F428" s="10">
        <v>284.38</v>
      </c>
      <c r="G428" s="11">
        <f>(FCV)*284.38</f>
        <v>284.38</v>
      </c>
    </row>
    <row r="429" spans="1:7" x14ac:dyDescent="0.2">
      <c r="A429" s="8" t="s">
        <v>4948</v>
      </c>
      <c r="B429" s="8">
        <v>22</v>
      </c>
      <c r="C429" s="8">
        <v>400</v>
      </c>
      <c r="D429" s="8">
        <v>1600</v>
      </c>
      <c r="E429" s="2" t="s">
        <v>4949</v>
      </c>
      <c r="F429" s="10">
        <v>284.38</v>
      </c>
      <c r="G429" s="11">
        <f>(FCV)*284.38</f>
        <v>284.38</v>
      </c>
    </row>
    <row r="430" spans="1:7" x14ac:dyDescent="0.2">
      <c r="A430" s="8" t="s">
        <v>3698</v>
      </c>
      <c r="B430" s="8">
        <v>22</v>
      </c>
      <c r="C430" s="8">
        <v>400</v>
      </c>
      <c r="D430" s="8">
        <v>1800</v>
      </c>
      <c r="E430" s="2" t="s">
        <v>3699</v>
      </c>
      <c r="F430" s="10">
        <v>308.67</v>
      </c>
      <c r="G430" s="11">
        <f>(FCV)*308.67</f>
        <v>308.67</v>
      </c>
    </row>
    <row r="431" spans="1:7" x14ac:dyDescent="0.2">
      <c r="A431" s="8" t="s">
        <v>4950</v>
      </c>
      <c r="B431" s="8">
        <v>22</v>
      </c>
      <c r="C431" s="8">
        <v>400</v>
      </c>
      <c r="D431" s="8">
        <v>1800</v>
      </c>
      <c r="E431" s="2" t="s">
        <v>4951</v>
      </c>
      <c r="F431" s="10">
        <v>308.67</v>
      </c>
      <c r="G431" s="11">
        <f>(FCV)*308.67</f>
        <v>308.67</v>
      </c>
    </row>
    <row r="432" spans="1:7" x14ac:dyDescent="0.2">
      <c r="A432" s="8" t="s">
        <v>3700</v>
      </c>
      <c r="B432" s="8">
        <v>22</v>
      </c>
      <c r="C432" s="8">
        <v>400</v>
      </c>
      <c r="D432" s="8">
        <v>2000</v>
      </c>
      <c r="E432" s="2" t="s">
        <v>3701</v>
      </c>
      <c r="F432" s="10">
        <v>333.92</v>
      </c>
      <c r="G432" s="11">
        <f>(FCV)*333.92</f>
        <v>333.92</v>
      </c>
    </row>
    <row r="433" spans="1:7" x14ac:dyDescent="0.2">
      <c r="A433" s="8" t="s">
        <v>4952</v>
      </c>
      <c r="B433" s="8">
        <v>22</v>
      </c>
      <c r="C433" s="8">
        <v>400</v>
      </c>
      <c r="D433" s="8">
        <v>2000</v>
      </c>
      <c r="E433" s="2" t="s">
        <v>4953</v>
      </c>
      <c r="F433" s="10">
        <v>333.92</v>
      </c>
      <c r="G433" s="11">
        <f>(FCV)*333.92</f>
        <v>333.92</v>
      </c>
    </row>
    <row r="434" spans="1:7" x14ac:dyDescent="0.2">
      <c r="A434" s="8" t="s">
        <v>3702</v>
      </c>
      <c r="B434" s="8">
        <v>22</v>
      </c>
      <c r="C434" s="8">
        <v>400</v>
      </c>
      <c r="D434" s="8">
        <v>2300</v>
      </c>
      <c r="E434" s="2" t="s">
        <v>3703</v>
      </c>
      <c r="F434" s="10">
        <v>370.59</v>
      </c>
      <c r="G434" s="11">
        <f>(FCV)*370.59</f>
        <v>370.59</v>
      </c>
    </row>
    <row r="435" spans="1:7" x14ac:dyDescent="0.2">
      <c r="A435" s="8" t="s">
        <v>4954</v>
      </c>
      <c r="B435" s="8">
        <v>22</v>
      </c>
      <c r="C435" s="8">
        <v>400</v>
      </c>
      <c r="D435" s="8">
        <v>2300</v>
      </c>
      <c r="E435" s="2" t="s">
        <v>4955</v>
      </c>
      <c r="F435" s="10">
        <v>370.59</v>
      </c>
      <c r="G435" s="11">
        <f>(FCV)*370.59</f>
        <v>370.59</v>
      </c>
    </row>
    <row r="436" spans="1:7" x14ac:dyDescent="0.2">
      <c r="A436" s="8" t="s">
        <v>3704</v>
      </c>
      <c r="B436" s="8">
        <v>22</v>
      </c>
      <c r="C436" s="8">
        <v>400</v>
      </c>
      <c r="D436" s="8">
        <v>2600</v>
      </c>
      <c r="E436" s="2" t="s">
        <v>3705</v>
      </c>
      <c r="F436" s="10">
        <v>407.68</v>
      </c>
      <c r="G436" s="11">
        <f>(FCV)*407.68</f>
        <v>407.68</v>
      </c>
    </row>
    <row r="437" spans="1:7" x14ac:dyDescent="0.2">
      <c r="A437" s="8" t="s">
        <v>4956</v>
      </c>
      <c r="B437" s="8">
        <v>22</v>
      </c>
      <c r="C437" s="8">
        <v>400</v>
      </c>
      <c r="D437" s="8">
        <v>2600</v>
      </c>
      <c r="E437" s="2" t="s">
        <v>4957</v>
      </c>
      <c r="F437" s="10">
        <v>407.68</v>
      </c>
      <c r="G437" s="11">
        <f>(FCV)*407.68</f>
        <v>407.68</v>
      </c>
    </row>
    <row r="438" spans="1:7" x14ac:dyDescent="0.2">
      <c r="A438" s="8" t="s">
        <v>3706</v>
      </c>
      <c r="B438" s="8">
        <v>22</v>
      </c>
      <c r="C438" s="8">
        <v>400</v>
      </c>
      <c r="D438" s="8">
        <v>3000</v>
      </c>
      <c r="E438" s="2" t="s">
        <v>3707</v>
      </c>
      <c r="F438" s="10">
        <v>457.02</v>
      </c>
      <c r="G438" s="11">
        <f>(FCV)*457.02</f>
        <v>457.02</v>
      </c>
    </row>
    <row r="439" spans="1:7" x14ac:dyDescent="0.2">
      <c r="A439" s="8" t="s">
        <v>4958</v>
      </c>
      <c r="B439" s="8">
        <v>22</v>
      </c>
      <c r="C439" s="8">
        <v>400</v>
      </c>
      <c r="D439" s="8">
        <v>3000</v>
      </c>
      <c r="E439" s="2" t="s">
        <v>4959</v>
      </c>
      <c r="F439" s="10">
        <v>457.02</v>
      </c>
      <c r="G439" s="11">
        <f>(FCV)*457.02</f>
        <v>457.02</v>
      </c>
    </row>
    <row r="440" spans="1:7" x14ac:dyDescent="0.2">
      <c r="A440" s="8" t="s">
        <v>3708</v>
      </c>
      <c r="B440" s="8">
        <v>22</v>
      </c>
      <c r="C440" s="8">
        <v>300</v>
      </c>
      <c r="D440" s="8">
        <v>400</v>
      </c>
      <c r="E440" s="2" t="s">
        <v>3709</v>
      </c>
      <c r="F440" s="10">
        <v>154.41999999999999</v>
      </c>
      <c r="G440" s="11">
        <f>(FCV)*154.42</f>
        <v>154.41999999999999</v>
      </c>
    </row>
    <row r="441" spans="1:7" x14ac:dyDescent="0.2">
      <c r="A441" s="8" t="s">
        <v>4960</v>
      </c>
      <c r="B441" s="8">
        <v>22</v>
      </c>
      <c r="C441" s="8">
        <v>500</v>
      </c>
      <c r="D441" s="8">
        <v>400</v>
      </c>
      <c r="E441" s="2" t="s">
        <v>4961</v>
      </c>
      <c r="F441" s="10">
        <v>154.41999999999999</v>
      </c>
      <c r="G441" s="11">
        <f>(FCV)*154.42</f>
        <v>154.41999999999999</v>
      </c>
    </row>
    <row r="442" spans="1:7" x14ac:dyDescent="0.2">
      <c r="A442" s="8" t="s">
        <v>3710</v>
      </c>
      <c r="B442" s="8">
        <v>22</v>
      </c>
      <c r="C442" s="8">
        <v>500</v>
      </c>
      <c r="D442" s="8">
        <v>500</v>
      </c>
      <c r="E442" s="2" t="s">
        <v>3711</v>
      </c>
      <c r="F442" s="10">
        <v>169.24</v>
      </c>
      <c r="G442" s="11">
        <f>(FCV)*169.24</f>
        <v>169.24</v>
      </c>
    </row>
    <row r="443" spans="1:7" x14ac:dyDescent="0.2">
      <c r="A443" s="8" t="s">
        <v>4962</v>
      </c>
      <c r="B443" s="8">
        <v>22</v>
      </c>
      <c r="C443" s="8">
        <v>500</v>
      </c>
      <c r="D443" s="8">
        <v>500</v>
      </c>
      <c r="E443" s="2" t="s">
        <v>4963</v>
      </c>
      <c r="F443" s="10">
        <v>169.24</v>
      </c>
      <c r="G443" s="11">
        <f>(FCV)*169.24</f>
        <v>169.24</v>
      </c>
    </row>
    <row r="444" spans="1:7" x14ac:dyDescent="0.2">
      <c r="A444" s="8" t="s">
        <v>3712</v>
      </c>
      <c r="B444" s="8">
        <v>22</v>
      </c>
      <c r="C444" s="8">
        <v>500</v>
      </c>
      <c r="D444" s="8">
        <v>600</v>
      </c>
      <c r="E444" s="2" t="s">
        <v>3713</v>
      </c>
      <c r="F444" s="10">
        <v>183.93</v>
      </c>
      <c r="G444" s="11">
        <f>(FCV)*183.93</f>
        <v>183.93</v>
      </c>
    </row>
    <row r="445" spans="1:7" x14ac:dyDescent="0.2">
      <c r="A445" s="8" t="s">
        <v>4964</v>
      </c>
      <c r="B445" s="8">
        <v>22</v>
      </c>
      <c r="C445" s="8">
        <v>500</v>
      </c>
      <c r="D445" s="8">
        <v>600</v>
      </c>
      <c r="E445" s="2" t="s">
        <v>4965</v>
      </c>
      <c r="F445" s="10">
        <v>183.93</v>
      </c>
      <c r="G445" s="11">
        <f>(FCV)*183.93</f>
        <v>183.93</v>
      </c>
    </row>
    <row r="446" spans="1:7" x14ac:dyDescent="0.2">
      <c r="A446" s="8" t="s">
        <v>3714</v>
      </c>
      <c r="B446" s="8">
        <v>22</v>
      </c>
      <c r="C446" s="8">
        <v>500</v>
      </c>
      <c r="D446" s="8">
        <v>700</v>
      </c>
      <c r="E446" s="2" t="s">
        <v>3715</v>
      </c>
      <c r="F446" s="10">
        <v>198.81</v>
      </c>
      <c r="G446" s="11">
        <f>(FCV)*198.81</f>
        <v>198.81</v>
      </c>
    </row>
    <row r="447" spans="1:7" x14ac:dyDescent="0.2">
      <c r="A447" s="8" t="s">
        <v>4966</v>
      </c>
      <c r="B447" s="8">
        <v>22</v>
      </c>
      <c r="C447" s="8">
        <v>500</v>
      </c>
      <c r="D447" s="8">
        <v>700</v>
      </c>
      <c r="E447" s="2" t="s">
        <v>4967</v>
      </c>
      <c r="F447" s="10">
        <v>198.81</v>
      </c>
      <c r="G447" s="11">
        <f>(FCV)*198.81</f>
        <v>198.81</v>
      </c>
    </row>
    <row r="448" spans="1:7" x14ac:dyDescent="0.2">
      <c r="A448" s="8" t="s">
        <v>3716</v>
      </c>
      <c r="B448" s="8">
        <v>22</v>
      </c>
      <c r="C448" s="8">
        <v>500</v>
      </c>
      <c r="D448" s="8">
        <v>800</v>
      </c>
      <c r="E448" s="2" t="s">
        <v>3717</v>
      </c>
      <c r="F448" s="10">
        <v>214.17</v>
      </c>
      <c r="G448" s="11">
        <f>(FCV)*214.17</f>
        <v>214.17</v>
      </c>
    </row>
    <row r="449" spans="1:7" x14ac:dyDescent="0.2">
      <c r="A449" s="8" t="s">
        <v>4968</v>
      </c>
      <c r="B449" s="8">
        <v>22</v>
      </c>
      <c r="C449" s="8">
        <v>500</v>
      </c>
      <c r="D449" s="8">
        <v>800</v>
      </c>
      <c r="E449" s="2" t="s">
        <v>4969</v>
      </c>
      <c r="F449" s="10">
        <v>214.17</v>
      </c>
      <c r="G449" s="11">
        <f>(FCV)*214.17</f>
        <v>214.17</v>
      </c>
    </row>
    <row r="450" spans="1:7" x14ac:dyDescent="0.2">
      <c r="A450" s="8" t="s">
        <v>3718</v>
      </c>
      <c r="B450" s="8">
        <v>22</v>
      </c>
      <c r="C450" s="8">
        <v>500</v>
      </c>
      <c r="D450" s="8">
        <v>900</v>
      </c>
      <c r="E450" s="2" t="s">
        <v>3719</v>
      </c>
      <c r="F450" s="10">
        <v>228.95</v>
      </c>
      <c r="G450" s="11">
        <f>(FCV)*228.95</f>
        <v>228.95</v>
      </c>
    </row>
    <row r="451" spans="1:7" x14ac:dyDescent="0.2">
      <c r="A451" s="8" t="s">
        <v>4970</v>
      </c>
      <c r="B451" s="8">
        <v>22</v>
      </c>
      <c r="C451" s="8">
        <v>500</v>
      </c>
      <c r="D451" s="8">
        <v>900</v>
      </c>
      <c r="E451" s="2" t="s">
        <v>4971</v>
      </c>
      <c r="F451" s="10">
        <v>228.95</v>
      </c>
      <c r="G451" s="11">
        <f>(FCV)*228.95</f>
        <v>228.95</v>
      </c>
    </row>
    <row r="452" spans="1:7" x14ac:dyDescent="0.2">
      <c r="A452" s="8" t="s">
        <v>3720</v>
      </c>
      <c r="B452" s="8">
        <v>22</v>
      </c>
      <c r="C452" s="8">
        <v>500</v>
      </c>
      <c r="D452" s="8">
        <v>1000</v>
      </c>
      <c r="E452" s="2" t="s">
        <v>3721</v>
      </c>
      <c r="F452" s="10">
        <v>243.75</v>
      </c>
      <c r="G452" s="11">
        <f>(FCV)*243.75</f>
        <v>243.75</v>
      </c>
    </row>
    <row r="453" spans="1:7" x14ac:dyDescent="0.2">
      <c r="A453" s="8" t="s">
        <v>4972</v>
      </c>
      <c r="B453" s="8">
        <v>22</v>
      </c>
      <c r="C453" s="8">
        <v>500</v>
      </c>
      <c r="D453" s="8">
        <v>1000</v>
      </c>
      <c r="E453" s="2" t="s">
        <v>4973</v>
      </c>
      <c r="F453" s="10">
        <v>243.75</v>
      </c>
      <c r="G453" s="11">
        <f>(FCV)*243.75</f>
        <v>243.75</v>
      </c>
    </row>
    <row r="454" spans="1:7" x14ac:dyDescent="0.2">
      <c r="A454" s="8" t="s">
        <v>3722</v>
      </c>
      <c r="B454" s="8">
        <v>22</v>
      </c>
      <c r="C454" s="8">
        <v>500</v>
      </c>
      <c r="D454" s="8">
        <v>1100</v>
      </c>
      <c r="E454" s="2" t="s">
        <v>3723</v>
      </c>
      <c r="F454" s="10">
        <v>258.55</v>
      </c>
      <c r="G454" s="11">
        <f>(FCV)*258.55</f>
        <v>258.55</v>
      </c>
    </row>
    <row r="455" spans="1:7" x14ac:dyDescent="0.2">
      <c r="A455" s="8" t="s">
        <v>4974</v>
      </c>
      <c r="B455" s="8">
        <v>22</v>
      </c>
      <c r="C455" s="8">
        <v>500</v>
      </c>
      <c r="D455" s="8">
        <v>1100</v>
      </c>
      <c r="E455" s="2" t="s">
        <v>4975</v>
      </c>
      <c r="F455" s="10">
        <v>258.55</v>
      </c>
      <c r="G455" s="11">
        <f>(FCV)*258.55</f>
        <v>258.55</v>
      </c>
    </row>
    <row r="456" spans="1:7" x14ac:dyDescent="0.2">
      <c r="A456" s="8" t="s">
        <v>3724</v>
      </c>
      <c r="B456" s="8">
        <v>22</v>
      </c>
      <c r="C456" s="8">
        <v>500</v>
      </c>
      <c r="D456" s="8">
        <v>1200</v>
      </c>
      <c r="E456" s="2" t="s">
        <v>3725</v>
      </c>
      <c r="F456" s="10">
        <v>273.44</v>
      </c>
      <c r="G456" s="11">
        <f>(FCV)*273.44</f>
        <v>273.44</v>
      </c>
    </row>
    <row r="457" spans="1:7" x14ac:dyDescent="0.2">
      <c r="A457" s="8" t="s">
        <v>4976</v>
      </c>
      <c r="B457" s="8">
        <v>22</v>
      </c>
      <c r="C457" s="8">
        <v>500</v>
      </c>
      <c r="D457" s="8">
        <v>1200</v>
      </c>
      <c r="E457" s="2" t="s">
        <v>4977</v>
      </c>
      <c r="F457" s="10">
        <v>273.44</v>
      </c>
      <c r="G457" s="11">
        <f>(FCV)*273.44</f>
        <v>273.44</v>
      </c>
    </row>
    <row r="458" spans="1:7" x14ac:dyDescent="0.2">
      <c r="A458" s="8" t="s">
        <v>3726</v>
      </c>
      <c r="B458" s="8">
        <v>22</v>
      </c>
      <c r="C458" s="8">
        <v>500</v>
      </c>
      <c r="D458" s="8">
        <v>1400</v>
      </c>
      <c r="E458" s="2" t="s">
        <v>3727</v>
      </c>
      <c r="F458" s="10">
        <v>303.60000000000002</v>
      </c>
      <c r="G458" s="11">
        <f>(FCV)*303.6</f>
        <v>303.60000000000002</v>
      </c>
    </row>
    <row r="459" spans="1:7" x14ac:dyDescent="0.2">
      <c r="A459" s="8" t="s">
        <v>4978</v>
      </c>
      <c r="B459" s="8">
        <v>22</v>
      </c>
      <c r="C459" s="8">
        <v>500</v>
      </c>
      <c r="D459" s="8">
        <v>1400</v>
      </c>
      <c r="E459" s="2" t="s">
        <v>4979</v>
      </c>
      <c r="F459" s="10">
        <v>303.60000000000002</v>
      </c>
      <c r="G459" s="11">
        <f>(FCV)*303.6</f>
        <v>303.60000000000002</v>
      </c>
    </row>
    <row r="460" spans="1:7" x14ac:dyDescent="0.2">
      <c r="A460" s="8" t="s">
        <v>3728</v>
      </c>
      <c r="B460" s="8">
        <v>22</v>
      </c>
      <c r="C460" s="8">
        <v>500</v>
      </c>
      <c r="D460" s="8">
        <v>1600</v>
      </c>
      <c r="E460" s="2" t="s">
        <v>3729</v>
      </c>
      <c r="F460" s="10">
        <v>333.51</v>
      </c>
      <c r="G460" s="11">
        <f>(FCV)*333.51</f>
        <v>333.51</v>
      </c>
    </row>
    <row r="461" spans="1:7" x14ac:dyDescent="0.2">
      <c r="A461" s="8" t="s">
        <v>4980</v>
      </c>
      <c r="B461" s="8">
        <v>22</v>
      </c>
      <c r="C461" s="8">
        <v>500</v>
      </c>
      <c r="D461" s="8">
        <v>1600</v>
      </c>
      <c r="E461" s="2" t="s">
        <v>4981</v>
      </c>
      <c r="F461" s="10">
        <v>333.51</v>
      </c>
      <c r="G461" s="11">
        <f>(FCV)*333.51</f>
        <v>333.51</v>
      </c>
    </row>
    <row r="462" spans="1:7" x14ac:dyDescent="0.2">
      <c r="A462" s="8" t="s">
        <v>3730</v>
      </c>
      <c r="B462" s="8">
        <v>22</v>
      </c>
      <c r="C462" s="8">
        <v>500</v>
      </c>
      <c r="D462" s="8">
        <v>1800</v>
      </c>
      <c r="E462" s="2" t="s">
        <v>3731</v>
      </c>
      <c r="F462" s="10">
        <v>363.62</v>
      </c>
      <c r="G462" s="11">
        <f>(FCV)*363.62</f>
        <v>363.62</v>
      </c>
    </row>
    <row r="463" spans="1:7" x14ac:dyDescent="0.2">
      <c r="A463" s="8" t="s">
        <v>4982</v>
      </c>
      <c r="B463" s="8">
        <v>22</v>
      </c>
      <c r="C463" s="8">
        <v>500</v>
      </c>
      <c r="D463" s="8">
        <v>1800</v>
      </c>
      <c r="E463" s="2" t="s">
        <v>4983</v>
      </c>
      <c r="F463" s="10">
        <v>363.62</v>
      </c>
      <c r="G463" s="11">
        <f>(FCV)*363.62</f>
        <v>363.62</v>
      </c>
    </row>
    <row r="464" spans="1:7" x14ac:dyDescent="0.2">
      <c r="A464" s="8" t="s">
        <v>3732</v>
      </c>
      <c r="B464" s="8">
        <v>22</v>
      </c>
      <c r="C464" s="8">
        <v>500</v>
      </c>
      <c r="D464" s="8">
        <v>2000</v>
      </c>
      <c r="E464" s="2" t="s">
        <v>3733</v>
      </c>
      <c r="F464" s="10">
        <v>393.56</v>
      </c>
      <c r="G464" s="11">
        <f>(FCV)*393.56</f>
        <v>393.56</v>
      </c>
    </row>
    <row r="465" spans="1:7" x14ac:dyDescent="0.2">
      <c r="A465" s="8" t="s">
        <v>4984</v>
      </c>
      <c r="B465" s="8">
        <v>22</v>
      </c>
      <c r="C465" s="8">
        <v>500</v>
      </c>
      <c r="D465" s="8">
        <v>2000</v>
      </c>
      <c r="E465" s="2" t="s">
        <v>4985</v>
      </c>
      <c r="F465" s="10">
        <v>393.56</v>
      </c>
      <c r="G465" s="11">
        <f>(FCV)*393.56</f>
        <v>393.56</v>
      </c>
    </row>
    <row r="466" spans="1:7" x14ac:dyDescent="0.2">
      <c r="A466" s="8" t="s">
        <v>3734</v>
      </c>
      <c r="B466" s="8">
        <v>22</v>
      </c>
      <c r="C466" s="8">
        <v>500</v>
      </c>
      <c r="D466" s="8">
        <v>2300</v>
      </c>
      <c r="E466" s="2" t="s">
        <v>3735</v>
      </c>
      <c r="F466" s="10">
        <v>438.82</v>
      </c>
      <c r="G466" s="11">
        <f>(FCV)*438.82</f>
        <v>438.82</v>
      </c>
    </row>
    <row r="467" spans="1:7" x14ac:dyDescent="0.2">
      <c r="A467" s="8" t="s">
        <v>4986</v>
      </c>
      <c r="B467" s="8">
        <v>22</v>
      </c>
      <c r="C467" s="8">
        <v>500</v>
      </c>
      <c r="D467" s="8">
        <v>2300</v>
      </c>
      <c r="E467" s="2" t="s">
        <v>4987</v>
      </c>
      <c r="F467" s="10">
        <v>438.82</v>
      </c>
      <c r="G467" s="11">
        <f>(FCV)*438.82</f>
        <v>438.82</v>
      </c>
    </row>
    <row r="468" spans="1:7" x14ac:dyDescent="0.2">
      <c r="A468" s="8" t="s">
        <v>3736</v>
      </c>
      <c r="B468" s="8">
        <v>22</v>
      </c>
      <c r="C468" s="8">
        <v>500</v>
      </c>
      <c r="D468" s="8">
        <v>2600</v>
      </c>
      <c r="E468" s="2" t="s">
        <v>3737</v>
      </c>
      <c r="F468" s="10">
        <v>483.84</v>
      </c>
      <c r="G468" s="11">
        <f>(FCV)*483.84</f>
        <v>483.84</v>
      </c>
    </row>
    <row r="469" spans="1:7" x14ac:dyDescent="0.2">
      <c r="A469" s="8" t="s">
        <v>4988</v>
      </c>
      <c r="B469" s="8">
        <v>22</v>
      </c>
      <c r="C469" s="8">
        <v>500</v>
      </c>
      <c r="D469" s="8">
        <v>2600</v>
      </c>
      <c r="E469" s="2" t="s">
        <v>4989</v>
      </c>
      <c r="F469" s="10">
        <v>483.84</v>
      </c>
      <c r="G469" s="11">
        <f>(FCV)*483.84</f>
        <v>483.84</v>
      </c>
    </row>
    <row r="470" spans="1:7" x14ac:dyDescent="0.2">
      <c r="A470" s="8" t="s">
        <v>3738</v>
      </c>
      <c r="B470" s="8">
        <v>22</v>
      </c>
      <c r="C470" s="8">
        <v>500</v>
      </c>
      <c r="D470" s="8">
        <v>3000</v>
      </c>
      <c r="E470" s="2" t="s">
        <v>3739</v>
      </c>
      <c r="F470" s="10">
        <v>543.67999999999995</v>
      </c>
      <c r="G470" s="11">
        <f>(FCV)*543.68</f>
        <v>543.67999999999995</v>
      </c>
    </row>
    <row r="471" spans="1:7" x14ac:dyDescent="0.2">
      <c r="A471" s="8" t="s">
        <v>4990</v>
      </c>
      <c r="B471" s="8">
        <v>22</v>
      </c>
      <c r="C471" s="8">
        <v>500</v>
      </c>
      <c r="D471" s="8">
        <v>3000</v>
      </c>
      <c r="E471" s="2" t="s">
        <v>4991</v>
      </c>
      <c r="F471" s="10">
        <v>543.67999999999995</v>
      </c>
      <c r="G471" s="11">
        <f>(FCV)*543.68</f>
        <v>543.67999999999995</v>
      </c>
    </row>
    <row r="472" spans="1:7" x14ac:dyDescent="0.2">
      <c r="A472" s="8" t="s">
        <v>3740</v>
      </c>
      <c r="B472" s="8">
        <v>22</v>
      </c>
      <c r="C472" s="8">
        <v>600</v>
      </c>
      <c r="D472" s="8">
        <v>400</v>
      </c>
      <c r="E472" s="2" t="s">
        <v>3741</v>
      </c>
      <c r="F472" s="10">
        <v>163.04</v>
      </c>
      <c r="G472" s="11">
        <f>(FCV)*163.04</f>
        <v>163.04</v>
      </c>
    </row>
    <row r="473" spans="1:7" x14ac:dyDescent="0.2">
      <c r="A473" s="8" t="s">
        <v>4992</v>
      </c>
      <c r="B473" s="8">
        <v>22</v>
      </c>
      <c r="C473" s="8">
        <v>600</v>
      </c>
      <c r="D473" s="8">
        <v>400</v>
      </c>
      <c r="E473" s="2" t="s">
        <v>4993</v>
      </c>
      <c r="F473" s="10">
        <v>163.04</v>
      </c>
      <c r="G473" s="11">
        <f>(FCV)*163.04</f>
        <v>163.04</v>
      </c>
    </row>
    <row r="474" spans="1:7" x14ac:dyDescent="0.2">
      <c r="A474" s="8" t="s">
        <v>3742</v>
      </c>
      <c r="B474" s="8">
        <v>22</v>
      </c>
      <c r="C474" s="8">
        <v>600</v>
      </c>
      <c r="D474" s="8">
        <v>500</v>
      </c>
      <c r="E474" s="2" t="s">
        <v>3743</v>
      </c>
      <c r="F474" s="10">
        <v>178.29</v>
      </c>
      <c r="G474" s="11">
        <f>(FCV)*178.29</f>
        <v>178.29</v>
      </c>
    </row>
    <row r="475" spans="1:7" x14ac:dyDescent="0.2">
      <c r="A475" s="8" t="s">
        <v>4994</v>
      </c>
      <c r="B475" s="8">
        <v>22</v>
      </c>
      <c r="C475" s="8">
        <v>600</v>
      </c>
      <c r="D475" s="8">
        <v>500</v>
      </c>
      <c r="E475" s="2" t="s">
        <v>4995</v>
      </c>
      <c r="F475" s="10">
        <v>178.29</v>
      </c>
      <c r="G475" s="11">
        <f>(FCV)*178.29</f>
        <v>178.29</v>
      </c>
    </row>
    <row r="476" spans="1:7" x14ac:dyDescent="0.2">
      <c r="A476" s="8" t="s">
        <v>3744</v>
      </c>
      <c r="B476" s="8">
        <v>22</v>
      </c>
      <c r="C476" s="8">
        <v>600</v>
      </c>
      <c r="D476" s="8">
        <v>600</v>
      </c>
      <c r="E476" s="2" t="s">
        <v>3745</v>
      </c>
      <c r="F476" s="10">
        <v>194.5</v>
      </c>
      <c r="G476" s="11">
        <f>(FCV)*194.5</f>
        <v>194.5</v>
      </c>
    </row>
    <row r="477" spans="1:7" x14ac:dyDescent="0.2">
      <c r="A477" s="8" t="s">
        <v>4996</v>
      </c>
      <c r="B477" s="8">
        <v>22</v>
      </c>
      <c r="C477" s="8">
        <v>600</v>
      </c>
      <c r="D477" s="8">
        <v>600</v>
      </c>
      <c r="E477" s="2" t="s">
        <v>4997</v>
      </c>
      <c r="F477" s="10">
        <v>194.5</v>
      </c>
      <c r="G477" s="11">
        <f>(FCV)*194.5</f>
        <v>194.5</v>
      </c>
    </row>
    <row r="478" spans="1:7" x14ac:dyDescent="0.2">
      <c r="A478" s="8" t="s">
        <v>3746</v>
      </c>
      <c r="B478" s="8">
        <v>22</v>
      </c>
      <c r="C478" s="8">
        <v>600</v>
      </c>
      <c r="D478" s="8">
        <v>700</v>
      </c>
      <c r="E478" s="2" t="s">
        <v>3747</v>
      </c>
      <c r="F478" s="10">
        <v>210.51</v>
      </c>
      <c r="G478" s="11">
        <f>(FCV)*210.51</f>
        <v>210.51</v>
      </c>
    </row>
    <row r="479" spans="1:7" x14ac:dyDescent="0.2">
      <c r="A479" s="8" t="s">
        <v>4998</v>
      </c>
      <c r="B479" s="8">
        <v>22</v>
      </c>
      <c r="C479" s="8">
        <v>600</v>
      </c>
      <c r="D479" s="8">
        <v>700</v>
      </c>
      <c r="E479" s="2" t="s">
        <v>4999</v>
      </c>
      <c r="F479" s="10">
        <v>210.51</v>
      </c>
      <c r="G479" s="11">
        <f>(FCV)*210.51</f>
        <v>210.51</v>
      </c>
    </row>
    <row r="480" spans="1:7" x14ac:dyDescent="0.2">
      <c r="A480" s="8" t="s">
        <v>3748</v>
      </c>
      <c r="B480" s="8">
        <v>22</v>
      </c>
      <c r="C480" s="8">
        <v>600</v>
      </c>
      <c r="D480" s="8">
        <v>800</v>
      </c>
      <c r="E480" s="2" t="s">
        <v>3749</v>
      </c>
      <c r="F480" s="10">
        <v>227.75</v>
      </c>
      <c r="G480" s="11">
        <f>(FCV)*227.75</f>
        <v>227.75</v>
      </c>
    </row>
    <row r="481" spans="1:7" x14ac:dyDescent="0.2">
      <c r="A481" s="8" t="s">
        <v>5000</v>
      </c>
      <c r="B481" s="8">
        <v>22</v>
      </c>
      <c r="C481" s="8">
        <v>600</v>
      </c>
      <c r="D481" s="8">
        <v>800</v>
      </c>
      <c r="E481" s="2" t="s">
        <v>5001</v>
      </c>
      <c r="F481" s="10">
        <v>227.75</v>
      </c>
      <c r="G481" s="11">
        <f>(FCV)*227.75</f>
        <v>227.75</v>
      </c>
    </row>
    <row r="482" spans="1:7" x14ac:dyDescent="0.2">
      <c r="A482" s="8" t="s">
        <v>3750</v>
      </c>
      <c r="B482" s="8">
        <v>22</v>
      </c>
      <c r="C482" s="8">
        <v>600</v>
      </c>
      <c r="D482" s="8">
        <v>900</v>
      </c>
      <c r="E482" s="2" t="s">
        <v>3751</v>
      </c>
      <c r="F482" s="10">
        <v>244.07</v>
      </c>
      <c r="G482" s="11">
        <f>(FCV)*244.07</f>
        <v>244.07</v>
      </c>
    </row>
    <row r="483" spans="1:7" x14ac:dyDescent="0.2">
      <c r="A483" s="8" t="s">
        <v>5002</v>
      </c>
      <c r="B483" s="8">
        <v>22</v>
      </c>
      <c r="C483" s="8">
        <v>600</v>
      </c>
      <c r="D483" s="8">
        <v>900</v>
      </c>
      <c r="E483" s="2" t="s">
        <v>5003</v>
      </c>
      <c r="F483" s="10">
        <v>244.07</v>
      </c>
      <c r="G483" s="11">
        <f>(FCV)*244.07</f>
        <v>244.07</v>
      </c>
    </row>
    <row r="484" spans="1:7" x14ac:dyDescent="0.2">
      <c r="A484" s="8" t="s">
        <v>3752</v>
      </c>
      <c r="B484" s="8">
        <v>22</v>
      </c>
      <c r="C484" s="8">
        <v>600</v>
      </c>
      <c r="D484" s="8">
        <v>1000</v>
      </c>
      <c r="E484" s="2" t="s">
        <v>3753</v>
      </c>
      <c r="F484" s="10">
        <v>260.83999999999997</v>
      </c>
      <c r="G484" s="11">
        <f>(FCV)*260.84</f>
        <v>260.83999999999997</v>
      </c>
    </row>
    <row r="485" spans="1:7" x14ac:dyDescent="0.2">
      <c r="A485" s="8" t="s">
        <v>5004</v>
      </c>
      <c r="B485" s="8">
        <v>22</v>
      </c>
      <c r="C485" s="8">
        <v>600</v>
      </c>
      <c r="D485" s="8">
        <v>1000</v>
      </c>
      <c r="E485" s="2" t="s">
        <v>5005</v>
      </c>
      <c r="F485" s="10">
        <v>260.83999999999997</v>
      </c>
      <c r="G485" s="11">
        <f>(FCV)*260.84</f>
        <v>260.83999999999997</v>
      </c>
    </row>
    <row r="486" spans="1:7" x14ac:dyDescent="0.2">
      <c r="A486" s="8" t="s">
        <v>3754</v>
      </c>
      <c r="B486" s="8">
        <v>22</v>
      </c>
      <c r="C486" s="8">
        <v>600</v>
      </c>
      <c r="D486" s="8">
        <v>1100</v>
      </c>
      <c r="E486" s="2" t="s">
        <v>3755</v>
      </c>
      <c r="F486" s="10">
        <v>276.86</v>
      </c>
      <c r="G486" s="11">
        <f>(FCV)*276.86</f>
        <v>276.86</v>
      </c>
    </row>
    <row r="487" spans="1:7" x14ac:dyDescent="0.2">
      <c r="A487" s="8" t="s">
        <v>5006</v>
      </c>
      <c r="B487" s="8">
        <v>22</v>
      </c>
      <c r="C487" s="8">
        <v>600</v>
      </c>
      <c r="D487" s="8">
        <v>1100</v>
      </c>
      <c r="E487" s="2" t="s">
        <v>5007</v>
      </c>
      <c r="F487" s="10">
        <v>276.86</v>
      </c>
      <c r="G487" s="11">
        <f>(FCV)*276.86</f>
        <v>276.86</v>
      </c>
    </row>
    <row r="488" spans="1:7" x14ac:dyDescent="0.2">
      <c r="A488" s="8" t="s">
        <v>3756</v>
      </c>
      <c r="B488" s="8">
        <v>22</v>
      </c>
      <c r="C488" s="8">
        <v>600</v>
      </c>
      <c r="D488" s="8">
        <v>1200</v>
      </c>
      <c r="E488" s="2" t="s">
        <v>3757</v>
      </c>
      <c r="F488" s="10">
        <v>293.86</v>
      </c>
      <c r="G488" s="11">
        <f>(FCV)*293.86</f>
        <v>293.86</v>
      </c>
    </row>
    <row r="489" spans="1:7" x14ac:dyDescent="0.2">
      <c r="A489" s="8" t="s">
        <v>5008</v>
      </c>
      <c r="B489" s="8">
        <v>22</v>
      </c>
      <c r="C489" s="8">
        <v>600</v>
      </c>
      <c r="D489" s="8">
        <v>1200</v>
      </c>
      <c r="E489" s="2" t="s">
        <v>5009</v>
      </c>
      <c r="F489" s="10">
        <v>293.86</v>
      </c>
      <c r="G489" s="11">
        <f>(FCV)*293.86</f>
        <v>293.86</v>
      </c>
    </row>
    <row r="490" spans="1:7" x14ac:dyDescent="0.2">
      <c r="A490" s="8" t="s">
        <v>3758</v>
      </c>
      <c r="B490" s="8">
        <v>22</v>
      </c>
      <c r="C490" s="8">
        <v>600</v>
      </c>
      <c r="D490" s="8">
        <v>1400</v>
      </c>
      <c r="E490" s="2" t="s">
        <v>3759</v>
      </c>
      <c r="F490" s="10">
        <v>327.32</v>
      </c>
      <c r="G490" s="11">
        <f>(FCV)*327.32</f>
        <v>327.32</v>
      </c>
    </row>
    <row r="491" spans="1:7" x14ac:dyDescent="0.2">
      <c r="A491" s="8" t="s">
        <v>5010</v>
      </c>
      <c r="B491" s="8">
        <v>22</v>
      </c>
      <c r="C491" s="8">
        <v>600</v>
      </c>
      <c r="D491" s="8">
        <v>1400</v>
      </c>
      <c r="E491" s="2" t="s">
        <v>5011</v>
      </c>
      <c r="F491" s="10">
        <v>327.32</v>
      </c>
      <c r="G491" s="11">
        <f>(FCV)*327.32</f>
        <v>327.32</v>
      </c>
    </row>
    <row r="492" spans="1:7" x14ac:dyDescent="0.2">
      <c r="A492" s="8" t="s">
        <v>3760</v>
      </c>
      <c r="B492" s="8">
        <v>22</v>
      </c>
      <c r="C492" s="8">
        <v>600</v>
      </c>
      <c r="D492" s="8">
        <v>1600</v>
      </c>
      <c r="E492" s="2" t="s">
        <v>3761</v>
      </c>
      <c r="F492" s="10">
        <v>360.2</v>
      </c>
      <c r="G492" s="11">
        <f>(FCV)*360.2</f>
        <v>360.2</v>
      </c>
    </row>
    <row r="493" spans="1:7" x14ac:dyDescent="0.2">
      <c r="A493" s="8" t="s">
        <v>5012</v>
      </c>
      <c r="B493" s="8">
        <v>22</v>
      </c>
      <c r="C493" s="8">
        <v>600</v>
      </c>
      <c r="D493" s="8">
        <v>1600</v>
      </c>
      <c r="E493" s="2" t="s">
        <v>5013</v>
      </c>
      <c r="F493" s="10">
        <v>360.2</v>
      </c>
      <c r="G493" s="11">
        <f>(FCV)*360.2</f>
        <v>360.2</v>
      </c>
    </row>
    <row r="494" spans="1:7" x14ac:dyDescent="0.2">
      <c r="A494" s="8" t="s">
        <v>3762</v>
      </c>
      <c r="B494" s="8">
        <v>22</v>
      </c>
      <c r="C494" s="8">
        <v>600</v>
      </c>
      <c r="D494" s="8">
        <v>1800</v>
      </c>
      <c r="E494" s="2" t="s">
        <v>3763</v>
      </c>
      <c r="F494" s="10">
        <v>393.56</v>
      </c>
      <c r="G494" s="11">
        <f>(FCV)*393.56</f>
        <v>393.56</v>
      </c>
    </row>
    <row r="495" spans="1:7" x14ac:dyDescent="0.2">
      <c r="A495" s="8" t="s">
        <v>5014</v>
      </c>
      <c r="B495" s="8">
        <v>22</v>
      </c>
      <c r="C495" s="8">
        <v>600</v>
      </c>
      <c r="D495" s="8">
        <v>1800</v>
      </c>
      <c r="E495" s="2" t="s">
        <v>5015</v>
      </c>
      <c r="F495" s="10">
        <v>393.56</v>
      </c>
      <c r="G495" s="11">
        <f>(FCV)*393.56</f>
        <v>393.56</v>
      </c>
    </row>
    <row r="496" spans="1:7" x14ac:dyDescent="0.2">
      <c r="A496" s="8" t="s">
        <v>3764</v>
      </c>
      <c r="B496" s="8">
        <v>22</v>
      </c>
      <c r="C496" s="8">
        <v>600</v>
      </c>
      <c r="D496" s="8">
        <v>2000</v>
      </c>
      <c r="E496" s="2" t="s">
        <v>3765</v>
      </c>
      <c r="F496" s="10">
        <v>426.67</v>
      </c>
      <c r="G496" s="11">
        <f>(FCV)*426.67</f>
        <v>426.67</v>
      </c>
    </row>
    <row r="497" spans="1:7" x14ac:dyDescent="0.2">
      <c r="A497" s="8" t="s">
        <v>5016</v>
      </c>
      <c r="B497" s="8">
        <v>22</v>
      </c>
      <c r="C497" s="8">
        <v>600</v>
      </c>
      <c r="D497" s="8">
        <v>2000</v>
      </c>
      <c r="E497" s="2" t="s">
        <v>5017</v>
      </c>
      <c r="F497" s="10">
        <v>426.67</v>
      </c>
      <c r="G497" s="11">
        <f>(FCV)*426.67</f>
        <v>426.67</v>
      </c>
    </row>
    <row r="498" spans="1:7" x14ac:dyDescent="0.2">
      <c r="A498" s="8" t="s">
        <v>3766</v>
      </c>
      <c r="B498" s="8">
        <v>22</v>
      </c>
      <c r="C498" s="8">
        <v>600</v>
      </c>
      <c r="D498" s="8">
        <v>2300</v>
      </c>
      <c r="E498" s="2" t="s">
        <v>3767</v>
      </c>
      <c r="F498" s="10">
        <v>476.9</v>
      </c>
      <c r="G498" s="11">
        <f>(FCV)*476.9</f>
        <v>476.9</v>
      </c>
    </row>
    <row r="499" spans="1:7" x14ac:dyDescent="0.2">
      <c r="A499" s="8" t="s">
        <v>5018</v>
      </c>
      <c r="B499" s="8">
        <v>22</v>
      </c>
      <c r="C499" s="8">
        <v>600</v>
      </c>
      <c r="D499" s="8">
        <v>2300</v>
      </c>
      <c r="E499" s="2" t="s">
        <v>5019</v>
      </c>
      <c r="F499" s="10">
        <v>476.9</v>
      </c>
      <c r="G499" s="11">
        <f>(FCV)*476.9</f>
        <v>476.9</v>
      </c>
    </row>
    <row r="500" spans="1:7" x14ac:dyDescent="0.2">
      <c r="A500" s="8" t="s">
        <v>3768</v>
      </c>
      <c r="B500" s="8">
        <v>22</v>
      </c>
      <c r="C500" s="8">
        <v>600</v>
      </c>
      <c r="D500" s="8">
        <v>2600</v>
      </c>
      <c r="E500" s="2" t="s">
        <v>3769</v>
      </c>
      <c r="F500" s="10">
        <v>526.79999999999995</v>
      </c>
      <c r="G500" s="11">
        <f>(FCV)*526.8</f>
        <v>526.79999999999995</v>
      </c>
    </row>
    <row r="501" spans="1:7" x14ac:dyDescent="0.2">
      <c r="A501" s="8" t="s">
        <v>5020</v>
      </c>
      <c r="B501" s="8">
        <v>22</v>
      </c>
      <c r="C501" s="8">
        <v>600</v>
      </c>
      <c r="D501" s="8">
        <v>2600</v>
      </c>
      <c r="E501" s="2" t="s">
        <v>5021</v>
      </c>
      <c r="F501" s="10">
        <v>526.79999999999995</v>
      </c>
      <c r="G501" s="11">
        <f>(FCV)*526.8</f>
        <v>526.79999999999995</v>
      </c>
    </row>
    <row r="502" spans="1:7" x14ac:dyDescent="0.2">
      <c r="A502" s="8" t="s">
        <v>3770</v>
      </c>
      <c r="B502" s="8">
        <v>22</v>
      </c>
      <c r="C502" s="8">
        <v>600</v>
      </c>
      <c r="D502" s="8">
        <v>3000</v>
      </c>
      <c r="E502" s="2" t="s">
        <v>3771</v>
      </c>
      <c r="F502" s="10">
        <v>593.01</v>
      </c>
      <c r="G502" s="11">
        <f>(FCV)*593.01</f>
        <v>593.01</v>
      </c>
    </row>
    <row r="503" spans="1:7" x14ac:dyDescent="0.2">
      <c r="A503" s="8" t="s">
        <v>5022</v>
      </c>
      <c r="B503" s="8">
        <v>22</v>
      </c>
      <c r="C503" s="8">
        <v>600</v>
      </c>
      <c r="D503" s="8">
        <v>3000</v>
      </c>
      <c r="E503" s="2" t="s">
        <v>5023</v>
      </c>
      <c r="F503" s="10">
        <v>593.01</v>
      </c>
      <c r="G503" s="11">
        <f>(FCV)*593.01</f>
        <v>593.01</v>
      </c>
    </row>
    <row r="504" spans="1:7" x14ac:dyDescent="0.2">
      <c r="A504" s="8" t="s">
        <v>3772</v>
      </c>
      <c r="B504" s="8">
        <v>22</v>
      </c>
      <c r="C504" s="8">
        <v>900</v>
      </c>
      <c r="D504" s="8">
        <v>400</v>
      </c>
      <c r="E504" s="2" t="s">
        <v>3773</v>
      </c>
      <c r="F504" s="10">
        <v>213.51</v>
      </c>
      <c r="G504" s="11">
        <f>(FCV)*213.51</f>
        <v>213.51</v>
      </c>
    </row>
    <row r="505" spans="1:7" x14ac:dyDescent="0.2">
      <c r="A505" s="8" t="s">
        <v>5024</v>
      </c>
      <c r="B505" s="8">
        <v>22</v>
      </c>
      <c r="C505" s="8">
        <v>900</v>
      </c>
      <c r="D505" s="8">
        <v>400</v>
      </c>
      <c r="E505" s="2" t="s">
        <v>5025</v>
      </c>
      <c r="F505" s="10">
        <v>213.51</v>
      </c>
      <c r="G505" s="11">
        <f>(FCV)*213.51</f>
        <v>213.51</v>
      </c>
    </row>
    <row r="506" spans="1:7" x14ac:dyDescent="0.2">
      <c r="A506" s="8" t="s">
        <v>3774</v>
      </c>
      <c r="B506" s="8">
        <v>22</v>
      </c>
      <c r="C506" s="8">
        <v>900</v>
      </c>
      <c r="D506" s="8">
        <v>500</v>
      </c>
      <c r="E506" s="2" t="s">
        <v>3775</v>
      </c>
      <c r="F506" s="10">
        <v>235.03</v>
      </c>
      <c r="G506" s="11">
        <f>(FCV)*235.03</f>
        <v>235.03</v>
      </c>
    </row>
    <row r="507" spans="1:7" x14ac:dyDescent="0.2">
      <c r="A507" s="8" t="s">
        <v>5026</v>
      </c>
      <c r="B507" s="8">
        <v>22</v>
      </c>
      <c r="C507" s="8">
        <v>900</v>
      </c>
      <c r="D507" s="8">
        <v>500</v>
      </c>
      <c r="E507" s="2" t="s">
        <v>5027</v>
      </c>
      <c r="F507" s="10">
        <v>235.03</v>
      </c>
      <c r="G507" s="11">
        <f>(FCV)*235.03</f>
        <v>235.03</v>
      </c>
    </row>
    <row r="508" spans="1:7" x14ac:dyDescent="0.2">
      <c r="A508" s="8" t="s">
        <v>3776</v>
      </c>
      <c r="B508" s="8">
        <v>22</v>
      </c>
      <c r="C508" s="8">
        <v>900</v>
      </c>
      <c r="D508" s="8">
        <v>600</v>
      </c>
      <c r="E508" s="2" t="s">
        <v>3777</v>
      </c>
      <c r="F508" s="10">
        <v>256.45</v>
      </c>
      <c r="G508" s="11">
        <f>(FCV)*256.45</f>
        <v>256.45</v>
      </c>
    </row>
    <row r="509" spans="1:7" x14ac:dyDescent="0.2">
      <c r="A509" s="8" t="s">
        <v>5028</v>
      </c>
      <c r="B509" s="8">
        <v>22</v>
      </c>
      <c r="C509" s="8">
        <v>900</v>
      </c>
      <c r="D509" s="8">
        <v>600</v>
      </c>
      <c r="E509" s="2" t="s">
        <v>5029</v>
      </c>
      <c r="F509" s="10">
        <v>256.45</v>
      </c>
      <c r="G509" s="11">
        <f>(FCV)*256.45</f>
        <v>256.45</v>
      </c>
    </row>
    <row r="510" spans="1:7" x14ac:dyDescent="0.2">
      <c r="A510" s="8" t="s">
        <v>3778</v>
      </c>
      <c r="B510" s="8">
        <v>22</v>
      </c>
      <c r="C510" s="8">
        <v>900</v>
      </c>
      <c r="D510" s="8">
        <v>700</v>
      </c>
      <c r="E510" s="2" t="s">
        <v>3779</v>
      </c>
      <c r="F510" s="10">
        <v>284.81</v>
      </c>
      <c r="G510" s="11">
        <f>(FCV)*284.81</f>
        <v>284.81</v>
      </c>
    </row>
    <row r="511" spans="1:7" x14ac:dyDescent="0.2">
      <c r="A511" s="8" t="s">
        <v>5030</v>
      </c>
      <c r="B511" s="8">
        <v>22</v>
      </c>
      <c r="C511" s="8">
        <v>900</v>
      </c>
      <c r="D511" s="8">
        <v>700</v>
      </c>
      <c r="E511" s="2" t="s">
        <v>5031</v>
      </c>
      <c r="F511" s="10">
        <v>284.81</v>
      </c>
      <c r="G511" s="11">
        <f>(FCV)*284.81</f>
        <v>284.81</v>
      </c>
    </row>
    <row r="512" spans="1:7" x14ac:dyDescent="0.2">
      <c r="A512" s="8" t="s">
        <v>3780</v>
      </c>
      <c r="B512" s="8">
        <v>22</v>
      </c>
      <c r="C512" s="8">
        <v>900</v>
      </c>
      <c r="D512" s="8">
        <v>800</v>
      </c>
      <c r="E512" s="2" t="s">
        <v>3781</v>
      </c>
      <c r="F512" s="10">
        <v>311.95999999999998</v>
      </c>
      <c r="G512" s="11">
        <f>(FCV)*311.96</f>
        <v>311.95999999999998</v>
      </c>
    </row>
    <row r="513" spans="1:7" x14ac:dyDescent="0.2">
      <c r="A513" s="8" t="s">
        <v>5032</v>
      </c>
      <c r="B513" s="8">
        <v>22</v>
      </c>
      <c r="C513" s="8">
        <v>900</v>
      </c>
      <c r="D513" s="8">
        <v>800</v>
      </c>
      <c r="E513" s="2" t="s">
        <v>5033</v>
      </c>
      <c r="F513" s="10">
        <v>311.95999999999998</v>
      </c>
      <c r="G513" s="11">
        <f>(FCV)*311.96</f>
        <v>311.95999999999998</v>
      </c>
    </row>
    <row r="514" spans="1:7" x14ac:dyDescent="0.2">
      <c r="A514" s="8" t="s">
        <v>3782</v>
      </c>
      <c r="B514" s="8">
        <v>22</v>
      </c>
      <c r="C514" s="8">
        <v>900</v>
      </c>
      <c r="D514" s="8">
        <v>900</v>
      </c>
      <c r="E514" s="2" t="s">
        <v>3783</v>
      </c>
      <c r="F514" s="10">
        <v>340.33</v>
      </c>
      <c r="G514" s="11">
        <f>(FCV)*340.33</f>
        <v>340.33</v>
      </c>
    </row>
    <row r="515" spans="1:7" x14ac:dyDescent="0.2">
      <c r="A515" s="8" t="s">
        <v>5034</v>
      </c>
      <c r="B515" s="8">
        <v>22</v>
      </c>
      <c r="C515" s="8">
        <v>900</v>
      </c>
      <c r="D515" s="8">
        <v>900</v>
      </c>
      <c r="E515" s="2" t="s">
        <v>5035</v>
      </c>
      <c r="F515" s="10">
        <v>340.33</v>
      </c>
      <c r="G515" s="11">
        <f>(FCV)*340.33</f>
        <v>340.33</v>
      </c>
    </row>
    <row r="516" spans="1:7" x14ac:dyDescent="0.2">
      <c r="A516" s="8" t="s">
        <v>3784</v>
      </c>
      <c r="B516" s="8">
        <v>22</v>
      </c>
      <c r="C516" s="8">
        <v>900</v>
      </c>
      <c r="D516" s="8">
        <v>1000</v>
      </c>
      <c r="E516" s="2" t="s">
        <v>3785</v>
      </c>
      <c r="F516" s="10">
        <v>368.05</v>
      </c>
      <c r="G516" s="11">
        <f>(FCV)*368.05</f>
        <v>368.05</v>
      </c>
    </row>
    <row r="517" spans="1:7" x14ac:dyDescent="0.2">
      <c r="A517" s="8" t="s">
        <v>5036</v>
      </c>
      <c r="B517" s="8">
        <v>22</v>
      </c>
      <c r="C517" s="8">
        <v>900</v>
      </c>
      <c r="D517" s="8">
        <v>1000</v>
      </c>
      <c r="E517" s="2" t="s">
        <v>5037</v>
      </c>
      <c r="F517" s="10">
        <v>368.05</v>
      </c>
      <c r="G517" s="11">
        <f>(FCV)*368.05</f>
        <v>368.05</v>
      </c>
    </row>
    <row r="518" spans="1:7" x14ac:dyDescent="0.2">
      <c r="A518" s="8" t="s">
        <v>3786</v>
      </c>
      <c r="B518" s="8">
        <v>22</v>
      </c>
      <c r="C518" s="8">
        <v>900</v>
      </c>
      <c r="D518" s="8">
        <v>1100</v>
      </c>
      <c r="E518" s="2" t="s">
        <v>3787</v>
      </c>
      <c r="F518" s="10">
        <v>395.65</v>
      </c>
      <c r="G518" s="11">
        <f>(FCV)*395.65</f>
        <v>395.65</v>
      </c>
    </row>
    <row r="519" spans="1:7" x14ac:dyDescent="0.2">
      <c r="A519" s="8" t="s">
        <v>5038</v>
      </c>
      <c r="B519" s="8">
        <v>22</v>
      </c>
      <c r="C519" s="8">
        <v>900</v>
      </c>
      <c r="D519" s="8">
        <v>1100</v>
      </c>
      <c r="E519" s="2" t="s">
        <v>5039</v>
      </c>
      <c r="F519" s="10">
        <v>395.65</v>
      </c>
      <c r="G519" s="11">
        <f>(FCV)*395.65</f>
        <v>395.65</v>
      </c>
    </row>
    <row r="520" spans="1:7" x14ac:dyDescent="0.2">
      <c r="A520" s="8" t="s">
        <v>3788</v>
      </c>
      <c r="B520" s="8">
        <v>22</v>
      </c>
      <c r="C520" s="8">
        <v>900</v>
      </c>
      <c r="D520" s="8">
        <v>1200</v>
      </c>
      <c r="E520" s="2" t="s">
        <v>3789</v>
      </c>
      <c r="F520" s="10">
        <v>423.9</v>
      </c>
      <c r="G520" s="11">
        <f>(FCV)*423.9</f>
        <v>423.9</v>
      </c>
    </row>
    <row r="521" spans="1:7" x14ac:dyDescent="0.2">
      <c r="A521" s="8" t="s">
        <v>5040</v>
      </c>
      <c r="B521" s="8">
        <v>22</v>
      </c>
      <c r="C521" s="8">
        <v>900</v>
      </c>
      <c r="D521" s="8">
        <v>1200</v>
      </c>
      <c r="E521" s="2" t="s">
        <v>5041</v>
      </c>
      <c r="F521" s="10">
        <v>423.9</v>
      </c>
      <c r="G521" s="11">
        <f>(FCV)*423.9</f>
        <v>423.9</v>
      </c>
    </row>
    <row r="522" spans="1:7" x14ac:dyDescent="0.2">
      <c r="A522" s="8" t="s">
        <v>3790</v>
      </c>
      <c r="B522" s="8">
        <v>22</v>
      </c>
      <c r="C522" s="8">
        <v>900</v>
      </c>
      <c r="D522" s="8">
        <v>1400</v>
      </c>
      <c r="E522" s="2" t="s">
        <v>3791</v>
      </c>
      <c r="F522" s="10">
        <v>479.55</v>
      </c>
      <c r="G522" s="11">
        <f>(FCV)*479.55</f>
        <v>479.55</v>
      </c>
    </row>
    <row r="523" spans="1:7" x14ac:dyDescent="0.2">
      <c r="A523" s="8" t="s">
        <v>5042</v>
      </c>
      <c r="B523" s="8">
        <v>22</v>
      </c>
      <c r="C523" s="8">
        <v>900</v>
      </c>
      <c r="D523" s="8">
        <v>1400</v>
      </c>
      <c r="E523" s="2" t="s">
        <v>5043</v>
      </c>
      <c r="F523" s="10">
        <v>479.55</v>
      </c>
      <c r="G523" s="11">
        <f>(FCV)*479.55</f>
        <v>479.55</v>
      </c>
    </row>
    <row r="524" spans="1:7" x14ac:dyDescent="0.2">
      <c r="A524" s="8" t="s">
        <v>3792</v>
      </c>
      <c r="B524" s="8">
        <v>22</v>
      </c>
      <c r="C524" s="8">
        <v>900</v>
      </c>
      <c r="D524" s="8">
        <v>1600</v>
      </c>
      <c r="E524" s="2" t="s">
        <v>3793</v>
      </c>
      <c r="F524" s="10">
        <v>535.16999999999996</v>
      </c>
      <c r="G524" s="11">
        <f>(FCV)*535.17</f>
        <v>535.16999999999996</v>
      </c>
    </row>
    <row r="525" spans="1:7" x14ac:dyDescent="0.2">
      <c r="A525" s="8" t="s">
        <v>5044</v>
      </c>
      <c r="B525" s="8">
        <v>22</v>
      </c>
      <c r="C525" s="8">
        <v>900</v>
      </c>
      <c r="D525" s="8">
        <v>1600</v>
      </c>
      <c r="E525" s="2" t="s">
        <v>5045</v>
      </c>
      <c r="F525" s="10">
        <v>535.16999999999996</v>
      </c>
      <c r="G525" s="11">
        <f>(FCV)*535.17</f>
        <v>535.16999999999996</v>
      </c>
    </row>
    <row r="526" spans="1:7" x14ac:dyDescent="0.2">
      <c r="A526" s="8" t="s">
        <v>3794</v>
      </c>
      <c r="B526" s="8">
        <v>22</v>
      </c>
      <c r="C526" s="8">
        <v>900</v>
      </c>
      <c r="D526" s="8">
        <v>1800</v>
      </c>
      <c r="E526" s="2" t="s">
        <v>3795</v>
      </c>
      <c r="F526" s="10">
        <v>590.71</v>
      </c>
      <c r="G526" s="11">
        <f>(FCV)*590.71</f>
        <v>590.71</v>
      </c>
    </row>
    <row r="527" spans="1:7" x14ac:dyDescent="0.2">
      <c r="A527" s="8" t="s">
        <v>5046</v>
      </c>
      <c r="B527" s="8">
        <v>22</v>
      </c>
      <c r="C527" s="8">
        <v>900</v>
      </c>
      <c r="D527" s="8">
        <v>1800</v>
      </c>
      <c r="E527" s="2" t="s">
        <v>5047</v>
      </c>
      <c r="F527" s="10">
        <v>590.71</v>
      </c>
      <c r="G527" s="11">
        <f>(FCV)*590.71</f>
        <v>590.71</v>
      </c>
    </row>
    <row r="528" spans="1:7" x14ac:dyDescent="0.2">
      <c r="A528" s="8" t="s">
        <v>3796</v>
      </c>
      <c r="B528" s="8">
        <v>22</v>
      </c>
      <c r="C528" s="8">
        <v>900</v>
      </c>
      <c r="D528" s="8">
        <v>2000</v>
      </c>
      <c r="E528" s="2" t="s">
        <v>3797</v>
      </c>
      <c r="F528" s="10">
        <v>647.13</v>
      </c>
      <c r="G528" s="11">
        <f>(FCV)*647.13</f>
        <v>647.13</v>
      </c>
    </row>
    <row r="529" spans="1:7" x14ac:dyDescent="0.2">
      <c r="A529" s="8" t="s">
        <v>5048</v>
      </c>
      <c r="B529" s="8">
        <v>22</v>
      </c>
      <c r="C529" s="8">
        <v>900</v>
      </c>
      <c r="D529" s="8">
        <v>2000</v>
      </c>
      <c r="E529" s="2" t="s">
        <v>5049</v>
      </c>
      <c r="F529" s="10">
        <v>647.13</v>
      </c>
      <c r="G529" s="11">
        <f>(FCV)*647.13</f>
        <v>647.13</v>
      </c>
    </row>
    <row r="530" spans="1:7" x14ac:dyDescent="0.2">
      <c r="A530" s="8" t="s">
        <v>3798</v>
      </c>
      <c r="B530" s="8">
        <v>33</v>
      </c>
      <c r="C530" s="8">
        <v>200</v>
      </c>
      <c r="D530" s="8">
        <v>600</v>
      </c>
      <c r="E530" s="2" t="s">
        <v>3799</v>
      </c>
      <c r="F530" s="10">
        <v>198.2</v>
      </c>
      <c r="G530" s="11">
        <f>(FCV)*198.2</f>
        <v>198.2</v>
      </c>
    </row>
    <row r="531" spans="1:7" x14ac:dyDescent="0.2">
      <c r="A531" s="8" t="s">
        <v>5050</v>
      </c>
      <c r="B531" s="8">
        <v>33</v>
      </c>
      <c r="C531" s="8">
        <v>200</v>
      </c>
      <c r="D531" s="8">
        <v>600</v>
      </c>
      <c r="E531" s="2" t="s">
        <v>5051</v>
      </c>
      <c r="F531" s="10">
        <v>198.2</v>
      </c>
      <c r="G531" s="11">
        <f>(FCV)*198.2</f>
        <v>198.2</v>
      </c>
    </row>
    <row r="532" spans="1:7" x14ac:dyDescent="0.2">
      <c r="A532" s="8" t="s">
        <v>3800</v>
      </c>
      <c r="B532" s="8">
        <v>33</v>
      </c>
      <c r="C532" s="8">
        <v>200</v>
      </c>
      <c r="D532" s="8">
        <v>700</v>
      </c>
      <c r="E532" s="2" t="s">
        <v>3801</v>
      </c>
      <c r="F532" s="10">
        <v>209.55</v>
      </c>
      <c r="G532" s="11">
        <f>(FCV)*209.55</f>
        <v>209.55</v>
      </c>
    </row>
    <row r="533" spans="1:7" x14ac:dyDescent="0.2">
      <c r="A533" s="8" t="s">
        <v>5052</v>
      </c>
      <c r="B533" s="8">
        <v>33</v>
      </c>
      <c r="C533" s="8">
        <v>200</v>
      </c>
      <c r="D533" s="8">
        <v>700</v>
      </c>
      <c r="E533" s="2" t="s">
        <v>5053</v>
      </c>
      <c r="F533" s="10">
        <v>209.55</v>
      </c>
      <c r="G533" s="11">
        <f>(FCV)*209.55</f>
        <v>209.55</v>
      </c>
    </row>
    <row r="534" spans="1:7" x14ac:dyDescent="0.2">
      <c r="A534" s="8" t="s">
        <v>3802</v>
      </c>
      <c r="B534" s="8">
        <v>33</v>
      </c>
      <c r="C534" s="8">
        <v>200</v>
      </c>
      <c r="D534" s="8">
        <v>800</v>
      </c>
      <c r="E534" s="2" t="s">
        <v>3803</v>
      </c>
      <c r="F534" s="10">
        <v>222</v>
      </c>
      <c r="G534" s="11">
        <f>(FCV)*222</f>
        <v>222</v>
      </c>
    </row>
    <row r="535" spans="1:7" x14ac:dyDescent="0.2">
      <c r="A535" s="8" t="s">
        <v>5054</v>
      </c>
      <c r="B535" s="8">
        <v>33</v>
      </c>
      <c r="C535" s="8">
        <v>200</v>
      </c>
      <c r="D535" s="8">
        <v>800</v>
      </c>
      <c r="E535" s="2" t="s">
        <v>5055</v>
      </c>
      <c r="F535" s="10">
        <v>222</v>
      </c>
      <c r="G535" s="11">
        <f>(FCV)*222</f>
        <v>222</v>
      </c>
    </row>
    <row r="536" spans="1:7" x14ac:dyDescent="0.2">
      <c r="A536" s="8" t="s">
        <v>3804</v>
      </c>
      <c r="B536" s="8">
        <v>33</v>
      </c>
      <c r="C536" s="8">
        <v>200</v>
      </c>
      <c r="D536" s="8">
        <v>900</v>
      </c>
      <c r="E536" s="2" t="s">
        <v>3805</v>
      </c>
      <c r="F536" s="10">
        <v>233.74</v>
      </c>
      <c r="G536" s="11">
        <f>(FCV)*233.74</f>
        <v>233.74</v>
      </c>
    </row>
    <row r="537" spans="1:7" x14ac:dyDescent="0.2">
      <c r="A537" s="8" t="s">
        <v>5056</v>
      </c>
      <c r="B537" s="8">
        <v>33</v>
      </c>
      <c r="C537" s="8">
        <v>200</v>
      </c>
      <c r="D537" s="8">
        <v>900</v>
      </c>
      <c r="E537" s="2" t="s">
        <v>5057</v>
      </c>
      <c r="F537" s="10">
        <v>233.74</v>
      </c>
      <c r="G537" s="11">
        <f>(FCV)*233.74</f>
        <v>233.74</v>
      </c>
    </row>
    <row r="538" spans="1:7" x14ac:dyDescent="0.2">
      <c r="A538" s="8" t="s">
        <v>3806</v>
      </c>
      <c r="B538" s="8">
        <v>33</v>
      </c>
      <c r="C538" s="8">
        <v>200</v>
      </c>
      <c r="D538" s="8">
        <v>1000</v>
      </c>
      <c r="E538" s="2" t="s">
        <v>3807</v>
      </c>
      <c r="F538" s="10">
        <v>245.6</v>
      </c>
      <c r="G538" s="11">
        <f>(FCV)*245.6</f>
        <v>245.6</v>
      </c>
    </row>
    <row r="539" spans="1:7" x14ac:dyDescent="0.2">
      <c r="A539" s="8" t="s">
        <v>5058</v>
      </c>
      <c r="B539" s="8">
        <v>33</v>
      </c>
      <c r="C539" s="8">
        <v>200</v>
      </c>
      <c r="D539" s="8">
        <v>1000</v>
      </c>
      <c r="E539" s="2" t="s">
        <v>5059</v>
      </c>
      <c r="F539" s="10">
        <v>245.6</v>
      </c>
      <c r="G539" s="11">
        <f>(FCV)*245.6</f>
        <v>245.6</v>
      </c>
    </row>
    <row r="540" spans="1:7" x14ac:dyDescent="0.2">
      <c r="A540" s="8" t="s">
        <v>3808</v>
      </c>
      <c r="B540" s="8">
        <v>33</v>
      </c>
      <c r="C540" s="8">
        <v>200</v>
      </c>
      <c r="D540" s="8">
        <v>1100</v>
      </c>
      <c r="E540" s="2" t="s">
        <v>3809</v>
      </c>
      <c r="F540" s="10">
        <v>258.25</v>
      </c>
      <c r="G540" s="11">
        <f>(FCV)*258.25</f>
        <v>258.25</v>
      </c>
    </row>
    <row r="541" spans="1:7" x14ac:dyDescent="0.2">
      <c r="A541" s="8" t="s">
        <v>5060</v>
      </c>
      <c r="B541" s="8">
        <v>33</v>
      </c>
      <c r="C541" s="8">
        <v>200</v>
      </c>
      <c r="D541" s="8">
        <v>1100</v>
      </c>
      <c r="E541" s="2" t="s">
        <v>5061</v>
      </c>
      <c r="F541" s="10">
        <v>258.25</v>
      </c>
      <c r="G541" s="11">
        <f>(FCV)*258.25</f>
        <v>258.25</v>
      </c>
    </row>
    <row r="542" spans="1:7" x14ac:dyDescent="0.2">
      <c r="A542" s="8" t="s">
        <v>3810</v>
      </c>
      <c r="B542" s="8">
        <v>33</v>
      </c>
      <c r="C542" s="8">
        <v>200</v>
      </c>
      <c r="D542" s="8">
        <v>1200</v>
      </c>
      <c r="E542" s="2" t="s">
        <v>3811</v>
      </c>
      <c r="F542" s="10">
        <v>270.39</v>
      </c>
      <c r="G542" s="11">
        <f>(FCV)*270.39</f>
        <v>270.39</v>
      </c>
    </row>
    <row r="543" spans="1:7" x14ac:dyDescent="0.2">
      <c r="A543" s="8" t="s">
        <v>5062</v>
      </c>
      <c r="B543" s="8">
        <v>33</v>
      </c>
      <c r="C543" s="8">
        <v>200</v>
      </c>
      <c r="D543" s="8">
        <v>1200</v>
      </c>
      <c r="E543" s="2" t="s">
        <v>5063</v>
      </c>
      <c r="F543" s="10">
        <v>270.39</v>
      </c>
      <c r="G543" s="11">
        <f>(FCV)*270.39</f>
        <v>270.39</v>
      </c>
    </row>
    <row r="544" spans="1:7" x14ac:dyDescent="0.2">
      <c r="A544" s="8" t="s">
        <v>3812</v>
      </c>
      <c r="B544" s="8">
        <v>33</v>
      </c>
      <c r="C544" s="8">
        <v>200</v>
      </c>
      <c r="D544" s="8">
        <v>1400</v>
      </c>
      <c r="E544" s="2" t="s">
        <v>3813</v>
      </c>
      <c r="F544" s="10">
        <v>294.99</v>
      </c>
      <c r="G544" s="11">
        <f>(FCV)*294.99</f>
        <v>294.99</v>
      </c>
    </row>
    <row r="545" spans="1:7" x14ac:dyDescent="0.2">
      <c r="A545" s="8" t="s">
        <v>5064</v>
      </c>
      <c r="B545" s="8">
        <v>33</v>
      </c>
      <c r="C545" s="8">
        <v>200</v>
      </c>
      <c r="D545" s="8">
        <v>1400</v>
      </c>
      <c r="E545" s="2" t="s">
        <v>5065</v>
      </c>
      <c r="F545" s="10">
        <v>294.99</v>
      </c>
      <c r="G545" s="11">
        <f>(FCV)*294.99</f>
        <v>294.99</v>
      </c>
    </row>
    <row r="546" spans="1:7" x14ac:dyDescent="0.2">
      <c r="A546" s="8" t="s">
        <v>3814</v>
      </c>
      <c r="B546" s="8">
        <v>33</v>
      </c>
      <c r="C546" s="8">
        <v>200</v>
      </c>
      <c r="D546" s="8">
        <v>1600</v>
      </c>
      <c r="E546" s="2" t="s">
        <v>3815</v>
      </c>
      <c r="F546" s="10">
        <v>319.48</v>
      </c>
      <c r="G546" s="11">
        <f>(FCV)*319.48</f>
        <v>319.48</v>
      </c>
    </row>
    <row r="547" spans="1:7" x14ac:dyDescent="0.2">
      <c r="A547" s="8" t="s">
        <v>5066</v>
      </c>
      <c r="B547" s="8">
        <v>33</v>
      </c>
      <c r="C547" s="8">
        <v>200</v>
      </c>
      <c r="D547" s="8">
        <v>1600</v>
      </c>
      <c r="E547" s="2" t="s">
        <v>5067</v>
      </c>
      <c r="F547" s="10">
        <v>319.48</v>
      </c>
      <c r="G547" s="11">
        <f>(FCV)*319.48</f>
        <v>319.48</v>
      </c>
    </row>
    <row r="548" spans="1:7" x14ac:dyDescent="0.2">
      <c r="A548" s="8" t="s">
        <v>3816</v>
      </c>
      <c r="B548" s="8">
        <v>33</v>
      </c>
      <c r="C548" s="8">
        <v>200</v>
      </c>
      <c r="D548" s="8">
        <v>1800</v>
      </c>
      <c r="E548" s="2" t="s">
        <v>3817</v>
      </c>
      <c r="F548" s="10">
        <v>336.55</v>
      </c>
      <c r="G548" s="11">
        <f>(FCV)*336.55</f>
        <v>336.55</v>
      </c>
    </row>
    <row r="549" spans="1:7" x14ac:dyDescent="0.2">
      <c r="A549" s="8" t="s">
        <v>5068</v>
      </c>
      <c r="B549" s="8">
        <v>33</v>
      </c>
      <c r="C549" s="8">
        <v>200</v>
      </c>
      <c r="D549" s="8">
        <v>1800</v>
      </c>
      <c r="E549" s="2" t="s">
        <v>5069</v>
      </c>
      <c r="F549" s="10">
        <v>336.55</v>
      </c>
      <c r="G549" s="11">
        <f>(FCV)*336.55</f>
        <v>336.55</v>
      </c>
    </row>
    <row r="550" spans="1:7" x14ac:dyDescent="0.2">
      <c r="A550" s="8" t="s">
        <v>3818</v>
      </c>
      <c r="B550" s="8">
        <v>33</v>
      </c>
      <c r="C550" s="8">
        <v>200</v>
      </c>
      <c r="D550" s="8">
        <v>2000</v>
      </c>
      <c r="E550" s="2" t="s">
        <v>3819</v>
      </c>
      <c r="F550" s="10">
        <v>368.18</v>
      </c>
      <c r="G550" s="11">
        <f>(FCV)*368.18</f>
        <v>368.18</v>
      </c>
    </row>
    <row r="551" spans="1:7" x14ac:dyDescent="0.2">
      <c r="A551" s="8" t="s">
        <v>5070</v>
      </c>
      <c r="B551" s="8">
        <v>33</v>
      </c>
      <c r="C551" s="8">
        <v>200</v>
      </c>
      <c r="D551" s="8">
        <v>2000</v>
      </c>
      <c r="E551" s="2" t="s">
        <v>5071</v>
      </c>
      <c r="F551" s="10">
        <v>368.18</v>
      </c>
      <c r="G551" s="11">
        <f>(FCV)*368.18</f>
        <v>368.18</v>
      </c>
    </row>
    <row r="552" spans="1:7" x14ac:dyDescent="0.2">
      <c r="A552" s="8" t="s">
        <v>3820</v>
      </c>
      <c r="B552" s="8">
        <v>33</v>
      </c>
      <c r="C552" s="8">
        <v>200</v>
      </c>
      <c r="D552" s="8">
        <v>2300</v>
      </c>
      <c r="E552" s="2" t="s">
        <v>3821</v>
      </c>
      <c r="F552" s="10">
        <v>405.25</v>
      </c>
      <c r="G552" s="11">
        <f>(FCV)*405.25</f>
        <v>405.25</v>
      </c>
    </row>
    <row r="553" spans="1:7" x14ac:dyDescent="0.2">
      <c r="A553" s="8" t="s">
        <v>5072</v>
      </c>
      <c r="B553" s="8">
        <v>33</v>
      </c>
      <c r="C553" s="8">
        <v>200</v>
      </c>
      <c r="D553" s="8">
        <v>2300</v>
      </c>
      <c r="E553" s="2" t="s">
        <v>5073</v>
      </c>
      <c r="F553" s="10">
        <v>405.25</v>
      </c>
      <c r="G553" s="11">
        <f>(FCV)*405.25</f>
        <v>405.25</v>
      </c>
    </row>
    <row r="554" spans="1:7" x14ac:dyDescent="0.2">
      <c r="A554" s="8" t="s">
        <v>3822</v>
      </c>
      <c r="B554" s="8">
        <v>33</v>
      </c>
      <c r="C554" s="8">
        <v>200</v>
      </c>
      <c r="D554" s="8">
        <v>2600</v>
      </c>
      <c r="E554" s="2" t="s">
        <v>3823</v>
      </c>
      <c r="F554" s="10">
        <v>441.77</v>
      </c>
      <c r="G554" s="11">
        <f>(FCV)*441.77</f>
        <v>441.77</v>
      </c>
    </row>
    <row r="555" spans="1:7" x14ac:dyDescent="0.2">
      <c r="A555" s="8" t="s">
        <v>5074</v>
      </c>
      <c r="B555" s="8">
        <v>33</v>
      </c>
      <c r="C555" s="8">
        <v>200</v>
      </c>
      <c r="D555" s="8">
        <v>2600</v>
      </c>
      <c r="E555" s="2" t="s">
        <v>5075</v>
      </c>
      <c r="F555" s="10">
        <v>441.77</v>
      </c>
      <c r="G555" s="11">
        <f>(FCV)*441.77</f>
        <v>441.77</v>
      </c>
    </row>
    <row r="556" spans="1:7" x14ac:dyDescent="0.2">
      <c r="A556" s="8" t="s">
        <v>3824</v>
      </c>
      <c r="B556" s="8">
        <v>33</v>
      </c>
      <c r="C556" s="8">
        <v>200</v>
      </c>
      <c r="D556" s="8">
        <v>3000</v>
      </c>
      <c r="E556" s="2" t="s">
        <v>3825</v>
      </c>
      <c r="F556" s="10">
        <v>479.75</v>
      </c>
      <c r="G556" s="11">
        <f>(FCV)*479.75</f>
        <v>479.75</v>
      </c>
    </row>
    <row r="557" spans="1:7" x14ac:dyDescent="0.2">
      <c r="A557" s="8" t="s">
        <v>5076</v>
      </c>
      <c r="B557" s="8">
        <v>33</v>
      </c>
      <c r="C557" s="8">
        <v>200</v>
      </c>
      <c r="D557" s="8">
        <v>3000</v>
      </c>
      <c r="E557" s="2" t="s">
        <v>5077</v>
      </c>
      <c r="F557" s="10">
        <v>479.75</v>
      </c>
      <c r="G557" s="11">
        <f>(FCV)*479.75</f>
        <v>479.75</v>
      </c>
    </row>
    <row r="558" spans="1:7" x14ac:dyDescent="0.2">
      <c r="A558" s="8" t="s">
        <v>3826</v>
      </c>
      <c r="B558" s="8">
        <v>33</v>
      </c>
      <c r="C558" s="8">
        <v>300</v>
      </c>
      <c r="D558" s="8">
        <v>400</v>
      </c>
      <c r="E558" s="2" t="s">
        <v>3827</v>
      </c>
      <c r="F558" s="10">
        <v>218.03</v>
      </c>
      <c r="G558" s="11">
        <f>(FCV)*218.03</f>
        <v>218.03</v>
      </c>
    </row>
    <row r="559" spans="1:7" x14ac:dyDescent="0.2">
      <c r="A559" s="8" t="s">
        <v>5078</v>
      </c>
      <c r="B559" s="8">
        <v>33</v>
      </c>
      <c r="C559" s="8">
        <v>300</v>
      </c>
      <c r="D559" s="8">
        <v>400</v>
      </c>
      <c r="E559" s="2" t="s">
        <v>5079</v>
      </c>
      <c r="F559" s="10">
        <v>218.03</v>
      </c>
      <c r="G559" s="11">
        <f>(FCV)*218.03</f>
        <v>218.03</v>
      </c>
    </row>
    <row r="560" spans="1:7" x14ac:dyDescent="0.2">
      <c r="A560" s="8" t="s">
        <v>3828</v>
      </c>
      <c r="B560" s="8">
        <v>33</v>
      </c>
      <c r="C560" s="8">
        <v>300</v>
      </c>
      <c r="D560" s="8">
        <v>500</v>
      </c>
      <c r="E560" s="2" t="s">
        <v>3829</v>
      </c>
      <c r="F560" s="10">
        <v>229.61</v>
      </c>
      <c r="G560" s="11">
        <f>(FCV)*229.61</f>
        <v>229.61</v>
      </c>
    </row>
    <row r="561" spans="1:7" x14ac:dyDescent="0.2">
      <c r="A561" s="8" t="s">
        <v>5080</v>
      </c>
      <c r="B561" s="8">
        <v>33</v>
      </c>
      <c r="C561" s="8">
        <v>300</v>
      </c>
      <c r="D561" s="8">
        <v>500</v>
      </c>
      <c r="E561" s="2" t="s">
        <v>5081</v>
      </c>
      <c r="F561" s="10">
        <v>229.61</v>
      </c>
      <c r="G561" s="11">
        <f>(FCV)*229.61</f>
        <v>229.61</v>
      </c>
    </row>
    <row r="562" spans="1:7" x14ac:dyDescent="0.2">
      <c r="A562" s="8" t="s">
        <v>3830</v>
      </c>
      <c r="B562" s="8">
        <v>33</v>
      </c>
      <c r="C562" s="8">
        <v>300</v>
      </c>
      <c r="D562" s="8">
        <v>600</v>
      </c>
      <c r="E562" s="2" t="s">
        <v>3831</v>
      </c>
      <c r="F562" s="10">
        <v>241.76</v>
      </c>
      <c r="G562" s="11">
        <f>(FCV)*241.76</f>
        <v>241.76</v>
      </c>
    </row>
    <row r="563" spans="1:7" x14ac:dyDescent="0.2">
      <c r="A563" s="8" t="s">
        <v>5082</v>
      </c>
      <c r="B563" s="8">
        <v>33</v>
      </c>
      <c r="C563" s="8">
        <v>300</v>
      </c>
      <c r="D563" s="8">
        <v>600</v>
      </c>
      <c r="E563" s="2" t="s">
        <v>5083</v>
      </c>
      <c r="F563" s="10">
        <v>241.76</v>
      </c>
      <c r="G563" s="11">
        <f>(FCV)*241.76</f>
        <v>241.76</v>
      </c>
    </row>
    <row r="564" spans="1:7" x14ac:dyDescent="0.2">
      <c r="A564" s="8" t="s">
        <v>3832</v>
      </c>
      <c r="B564" s="8">
        <v>33</v>
      </c>
      <c r="C564" s="8">
        <v>300</v>
      </c>
      <c r="D564" s="8">
        <v>700</v>
      </c>
      <c r="E564" s="2" t="s">
        <v>3833</v>
      </c>
      <c r="F564" s="10">
        <v>255.01</v>
      </c>
      <c r="G564" s="11">
        <f>(FCV)*255.01</f>
        <v>255.01</v>
      </c>
    </row>
    <row r="565" spans="1:7" x14ac:dyDescent="0.2">
      <c r="A565" s="8" t="s">
        <v>5084</v>
      </c>
      <c r="B565" s="8">
        <v>33</v>
      </c>
      <c r="C565" s="8">
        <v>300</v>
      </c>
      <c r="D565" s="8">
        <v>700</v>
      </c>
      <c r="E565" s="2" t="s">
        <v>5085</v>
      </c>
      <c r="F565" s="10">
        <v>255.01</v>
      </c>
      <c r="G565" s="11">
        <f>(FCV)*255.01</f>
        <v>255.01</v>
      </c>
    </row>
    <row r="566" spans="1:7" x14ac:dyDescent="0.2">
      <c r="A566" s="8" t="s">
        <v>3834</v>
      </c>
      <c r="B566" s="8">
        <v>33</v>
      </c>
      <c r="C566" s="8">
        <v>300</v>
      </c>
      <c r="D566" s="8">
        <v>800</v>
      </c>
      <c r="E566" s="2" t="s">
        <v>3835</v>
      </c>
      <c r="F566" s="10">
        <v>269.45999999999998</v>
      </c>
      <c r="G566" s="11">
        <f>(FCV)*269.46</f>
        <v>269.45999999999998</v>
      </c>
    </row>
    <row r="567" spans="1:7" x14ac:dyDescent="0.2">
      <c r="A567" s="8" t="s">
        <v>5086</v>
      </c>
      <c r="B567" s="8">
        <v>33</v>
      </c>
      <c r="C567" s="8">
        <v>300</v>
      </c>
      <c r="D567" s="8">
        <v>800</v>
      </c>
      <c r="E567" s="2" t="s">
        <v>5087</v>
      </c>
      <c r="F567" s="10">
        <v>269.45999999999998</v>
      </c>
      <c r="G567" s="11">
        <f>(FCV)*269.46</f>
        <v>269.45999999999998</v>
      </c>
    </row>
    <row r="568" spans="1:7" x14ac:dyDescent="0.2">
      <c r="A568" s="8" t="s">
        <v>3836</v>
      </c>
      <c r="B568" s="8">
        <v>33</v>
      </c>
      <c r="C568" s="8">
        <v>300</v>
      </c>
      <c r="D568" s="8">
        <v>900</v>
      </c>
      <c r="E568" s="2" t="s">
        <v>3837</v>
      </c>
      <c r="F568" s="10">
        <v>283.27</v>
      </c>
      <c r="G568" s="11">
        <f>(FCV)*283.27</f>
        <v>283.27</v>
      </c>
    </row>
    <row r="569" spans="1:7" x14ac:dyDescent="0.2">
      <c r="A569" s="8" t="s">
        <v>5088</v>
      </c>
      <c r="B569" s="8">
        <v>33</v>
      </c>
      <c r="C569" s="8">
        <v>300</v>
      </c>
      <c r="D569" s="8">
        <v>900</v>
      </c>
      <c r="E569" s="2" t="s">
        <v>5089</v>
      </c>
      <c r="F569" s="10">
        <v>283.27</v>
      </c>
      <c r="G569" s="11">
        <f>(FCV)*283.27</f>
        <v>283.27</v>
      </c>
    </row>
    <row r="570" spans="1:7" x14ac:dyDescent="0.2">
      <c r="A570" s="8" t="s">
        <v>3838</v>
      </c>
      <c r="B570" s="8">
        <v>33</v>
      </c>
      <c r="C570" s="8">
        <v>300</v>
      </c>
      <c r="D570" s="8">
        <v>1000</v>
      </c>
      <c r="E570" s="2" t="s">
        <v>3839</v>
      </c>
      <c r="F570" s="10">
        <v>297.08</v>
      </c>
      <c r="G570" s="11">
        <f>(FCV)*297.08</f>
        <v>297.08</v>
      </c>
    </row>
    <row r="571" spans="1:7" x14ac:dyDescent="0.2">
      <c r="A571" s="8" t="s">
        <v>5090</v>
      </c>
      <c r="B571" s="8">
        <v>33</v>
      </c>
      <c r="C571" s="8">
        <v>300</v>
      </c>
      <c r="D571" s="8">
        <v>1000</v>
      </c>
      <c r="E571" s="2" t="s">
        <v>5091</v>
      </c>
      <c r="F571" s="10">
        <v>297.08</v>
      </c>
      <c r="G571" s="11">
        <f>(FCV)*297.08</f>
        <v>297.08</v>
      </c>
    </row>
    <row r="572" spans="1:7" x14ac:dyDescent="0.2">
      <c r="A572" s="8" t="s">
        <v>3840</v>
      </c>
      <c r="B572" s="8">
        <v>33</v>
      </c>
      <c r="C572" s="8">
        <v>300</v>
      </c>
      <c r="D572" s="8">
        <v>1100</v>
      </c>
      <c r="E572" s="2" t="s">
        <v>3841</v>
      </c>
      <c r="F572" s="10">
        <v>311.76</v>
      </c>
      <c r="G572" s="11">
        <f>(FCV)*311.76</f>
        <v>311.76</v>
      </c>
    </row>
    <row r="573" spans="1:7" x14ac:dyDescent="0.2">
      <c r="A573" s="8" t="s">
        <v>5092</v>
      </c>
      <c r="B573" s="8">
        <v>33</v>
      </c>
      <c r="C573" s="8">
        <v>300</v>
      </c>
      <c r="D573" s="8">
        <v>1100</v>
      </c>
      <c r="E573" s="2" t="s">
        <v>5093</v>
      </c>
      <c r="F573" s="10">
        <v>311.76</v>
      </c>
      <c r="G573" s="11">
        <f>(FCV)*311.76</f>
        <v>311.76</v>
      </c>
    </row>
    <row r="574" spans="1:7" x14ac:dyDescent="0.2">
      <c r="A574" s="8" t="s">
        <v>3842</v>
      </c>
      <c r="B574" s="8">
        <v>33</v>
      </c>
      <c r="C574" s="8">
        <v>300</v>
      </c>
      <c r="D574" s="8">
        <v>1200</v>
      </c>
      <c r="E574" s="2" t="s">
        <v>3843</v>
      </c>
      <c r="F574" s="10">
        <v>325.97000000000003</v>
      </c>
      <c r="G574" s="11">
        <f>(FCV)*325.97</f>
        <v>325.97000000000003</v>
      </c>
    </row>
    <row r="575" spans="1:7" x14ac:dyDescent="0.2">
      <c r="A575" s="8" t="s">
        <v>5094</v>
      </c>
      <c r="B575" s="8">
        <v>33</v>
      </c>
      <c r="C575" s="8">
        <v>300</v>
      </c>
      <c r="D575" s="8">
        <v>1200</v>
      </c>
      <c r="E575" s="2" t="s">
        <v>5095</v>
      </c>
      <c r="F575" s="10">
        <v>325.97000000000003</v>
      </c>
      <c r="G575" s="11">
        <f>(FCV)*325.97</f>
        <v>325.97000000000003</v>
      </c>
    </row>
    <row r="576" spans="1:7" x14ac:dyDescent="0.2">
      <c r="A576" s="8" t="s">
        <v>3844</v>
      </c>
      <c r="B576" s="8">
        <v>33</v>
      </c>
      <c r="C576" s="8">
        <v>300</v>
      </c>
      <c r="D576" s="8">
        <v>1400</v>
      </c>
      <c r="E576" s="2" t="s">
        <v>3845</v>
      </c>
      <c r="F576" s="10">
        <v>354.7</v>
      </c>
      <c r="G576" s="11">
        <f>(FCV)*354.7</f>
        <v>354.7</v>
      </c>
    </row>
    <row r="577" spans="1:7" x14ac:dyDescent="0.2">
      <c r="A577" s="8" t="s">
        <v>5096</v>
      </c>
      <c r="B577" s="8">
        <v>33</v>
      </c>
      <c r="C577" s="8">
        <v>300</v>
      </c>
      <c r="D577" s="8">
        <v>1400</v>
      </c>
      <c r="E577" s="2" t="s">
        <v>5097</v>
      </c>
      <c r="F577" s="10">
        <v>354.7</v>
      </c>
      <c r="G577" s="11">
        <f>(FCV)*354.7</f>
        <v>354.7</v>
      </c>
    </row>
    <row r="578" spans="1:7" x14ac:dyDescent="0.2">
      <c r="A578" s="8" t="s">
        <v>3846</v>
      </c>
      <c r="B578" s="8">
        <v>33</v>
      </c>
      <c r="C578" s="8">
        <v>300</v>
      </c>
      <c r="D578" s="8">
        <v>1600</v>
      </c>
      <c r="E578" s="2" t="s">
        <v>3847</v>
      </c>
      <c r="F578" s="10">
        <v>383.18</v>
      </c>
      <c r="G578" s="11">
        <f>(FCV)*383.18</f>
        <v>383.18</v>
      </c>
    </row>
    <row r="579" spans="1:7" x14ac:dyDescent="0.2">
      <c r="A579" s="8" t="s">
        <v>5098</v>
      </c>
      <c r="B579" s="8">
        <v>33</v>
      </c>
      <c r="C579" s="8">
        <v>300</v>
      </c>
      <c r="D579" s="8">
        <v>1600</v>
      </c>
      <c r="E579" s="2" t="s">
        <v>5099</v>
      </c>
      <c r="F579" s="10">
        <v>383.18</v>
      </c>
      <c r="G579" s="11">
        <f>(FCV)*383.18</f>
        <v>383.18</v>
      </c>
    </row>
    <row r="580" spans="1:7" x14ac:dyDescent="0.2">
      <c r="A580" s="8" t="s">
        <v>3848</v>
      </c>
      <c r="B580" s="8">
        <v>33</v>
      </c>
      <c r="C580" s="8">
        <v>300</v>
      </c>
      <c r="D580" s="8">
        <v>1800</v>
      </c>
      <c r="E580" s="2" t="s">
        <v>3849</v>
      </c>
      <c r="F580" s="10">
        <v>403.03</v>
      </c>
      <c r="G580" s="11">
        <f>(FCV)*403.03</f>
        <v>403.03</v>
      </c>
    </row>
    <row r="581" spans="1:7" x14ac:dyDescent="0.2">
      <c r="A581" s="8" t="s">
        <v>5100</v>
      </c>
      <c r="B581" s="8">
        <v>33</v>
      </c>
      <c r="C581" s="8">
        <v>300</v>
      </c>
      <c r="D581" s="8">
        <v>1800</v>
      </c>
      <c r="E581" s="2" t="s">
        <v>5101</v>
      </c>
      <c r="F581" s="10">
        <v>403.03</v>
      </c>
      <c r="G581" s="11">
        <f>(FCV)*403.03</f>
        <v>403.03</v>
      </c>
    </row>
    <row r="582" spans="1:7" x14ac:dyDescent="0.2">
      <c r="A582" s="8" t="s">
        <v>3850</v>
      </c>
      <c r="B582" s="8">
        <v>33</v>
      </c>
      <c r="C582" s="8">
        <v>300</v>
      </c>
      <c r="D582" s="8">
        <v>2000</v>
      </c>
      <c r="E582" s="2" t="s">
        <v>3851</v>
      </c>
      <c r="F582" s="10">
        <v>440.03</v>
      </c>
      <c r="G582" s="11">
        <f>(FCV)*440.03</f>
        <v>440.03</v>
      </c>
    </row>
    <row r="583" spans="1:7" x14ac:dyDescent="0.2">
      <c r="A583" s="8" t="s">
        <v>5102</v>
      </c>
      <c r="B583" s="8">
        <v>33</v>
      </c>
      <c r="C583" s="8">
        <v>300</v>
      </c>
      <c r="D583" s="8">
        <v>2000</v>
      </c>
      <c r="E583" s="2" t="s">
        <v>5103</v>
      </c>
      <c r="F583" s="10">
        <v>440.03</v>
      </c>
      <c r="G583" s="11">
        <f>(FCV)*440.03</f>
        <v>440.03</v>
      </c>
    </row>
    <row r="584" spans="1:7" x14ac:dyDescent="0.2">
      <c r="A584" s="8" t="s">
        <v>3852</v>
      </c>
      <c r="B584" s="8">
        <v>33</v>
      </c>
      <c r="C584" s="8">
        <v>300</v>
      </c>
      <c r="D584" s="8">
        <v>2300</v>
      </c>
      <c r="E584" s="2" t="s">
        <v>3853</v>
      </c>
      <c r="F584" s="10">
        <v>482.96</v>
      </c>
      <c r="G584" s="11">
        <f>(FCV)*482.96</f>
        <v>482.96</v>
      </c>
    </row>
    <row r="585" spans="1:7" x14ac:dyDescent="0.2">
      <c r="A585" s="8" t="s">
        <v>5104</v>
      </c>
      <c r="B585" s="8">
        <v>33</v>
      </c>
      <c r="C585" s="8">
        <v>300</v>
      </c>
      <c r="D585" s="8">
        <v>2300</v>
      </c>
      <c r="E585" s="2" t="s">
        <v>5105</v>
      </c>
      <c r="F585" s="10">
        <v>482.96</v>
      </c>
      <c r="G585" s="11">
        <f>(FCV)*482.96</f>
        <v>482.96</v>
      </c>
    </row>
    <row r="586" spans="1:7" x14ac:dyDescent="0.2">
      <c r="A586" s="8" t="s">
        <v>3854</v>
      </c>
      <c r="B586" s="8">
        <v>33</v>
      </c>
      <c r="C586" s="8">
        <v>300</v>
      </c>
      <c r="D586" s="8">
        <v>2600</v>
      </c>
      <c r="E586" s="2" t="s">
        <v>3855</v>
      </c>
      <c r="F586" s="10">
        <v>525.79999999999995</v>
      </c>
      <c r="G586" s="11">
        <f>(FCV)*525.8</f>
        <v>525.79999999999995</v>
      </c>
    </row>
    <row r="587" spans="1:7" x14ac:dyDescent="0.2">
      <c r="A587" s="8" t="s">
        <v>5106</v>
      </c>
      <c r="B587" s="8">
        <v>33</v>
      </c>
      <c r="C587" s="8">
        <v>300</v>
      </c>
      <c r="D587" s="8">
        <v>2600</v>
      </c>
      <c r="E587" s="2" t="s">
        <v>5107</v>
      </c>
      <c r="F587" s="10">
        <v>525.79999999999995</v>
      </c>
      <c r="G587" s="11">
        <f>(FCV)*525.8</f>
        <v>525.79999999999995</v>
      </c>
    </row>
    <row r="588" spans="1:7" x14ac:dyDescent="0.2">
      <c r="A588" s="8" t="s">
        <v>3856</v>
      </c>
      <c r="B588" s="8">
        <v>33</v>
      </c>
      <c r="C588" s="8">
        <v>300</v>
      </c>
      <c r="D588" s="8">
        <v>3000</v>
      </c>
      <c r="E588" s="2" t="s">
        <v>3857</v>
      </c>
      <c r="F588" s="10">
        <v>570.05999999999995</v>
      </c>
      <c r="G588" s="11">
        <f>(FCV)*570.06</f>
        <v>570.05999999999995</v>
      </c>
    </row>
    <row r="589" spans="1:7" x14ac:dyDescent="0.2">
      <c r="A589" s="8" t="s">
        <v>5108</v>
      </c>
      <c r="B589" s="8">
        <v>33</v>
      </c>
      <c r="C589" s="8">
        <v>300</v>
      </c>
      <c r="D589" s="8">
        <v>3000</v>
      </c>
      <c r="E589" s="2" t="s">
        <v>5109</v>
      </c>
      <c r="F589" s="10">
        <v>570.05999999999995</v>
      </c>
      <c r="G589" s="11">
        <f>(FCV)*570.06</f>
        <v>570.05999999999995</v>
      </c>
    </row>
    <row r="590" spans="1:7" x14ac:dyDescent="0.2">
      <c r="A590" s="8" t="s">
        <v>3858</v>
      </c>
      <c r="B590" s="8">
        <v>33</v>
      </c>
      <c r="C590" s="8">
        <v>400</v>
      </c>
      <c r="D590" s="8">
        <v>400</v>
      </c>
      <c r="E590" s="2" t="s">
        <v>3859</v>
      </c>
      <c r="F590" s="10">
        <v>226.96</v>
      </c>
      <c r="G590" s="11">
        <f>(FCV)*226.96</f>
        <v>226.96</v>
      </c>
    </row>
    <row r="591" spans="1:7" x14ac:dyDescent="0.2">
      <c r="A591" s="8" t="s">
        <v>5110</v>
      </c>
      <c r="B591" s="8">
        <v>33</v>
      </c>
      <c r="C591" s="8">
        <v>400</v>
      </c>
      <c r="D591" s="8">
        <v>400</v>
      </c>
      <c r="E591" s="2" t="s">
        <v>5111</v>
      </c>
      <c r="F591" s="10">
        <v>226.96</v>
      </c>
      <c r="G591" s="11">
        <f>(FCV)*226.96</f>
        <v>226.96</v>
      </c>
    </row>
    <row r="592" spans="1:7" x14ac:dyDescent="0.2">
      <c r="A592" s="8" t="s">
        <v>3860</v>
      </c>
      <c r="B592" s="8">
        <v>33</v>
      </c>
      <c r="C592" s="8">
        <v>400</v>
      </c>
      <c r="D592" s="8">
        <v>500</v>
      </c>
      <c r="E592" s="2" t="s">
        <v>3861</v>
      </c>
      <c r="F592" s="10">
        <v>240.21</v>
      </c>
      <c r="G592" s="11">
        <f>(FCV)*240.21</f>
        <v>240.21</v>
      </c>
    </row>
    <row r="593" spans="1:7" x14ac:dyDescent="0.2">
      <c r="A593" s="8" t="s">
        <v>5112</v>
      </c>
      <c r="B593" s="8">
        <v>33</v>
      </c>
      <c r="C593" s="8">
        <v>400</v>
      </c>
      <c r="D593" s="8">
        <v>500</v>
      </c>
      <c r="E593" s="2" t="s">
        <v>5113</v>
      </c>
      <c r="F593" s="10">
        <v>240.21</v>
      </c>
      <c r="G593" s="11">
        <f>(FCV)*240.21</f>
        <v>240.21</v>
      </c>
    </row>
    <row r="594" spans="1:7" x14ac:dyDescent="0.2">
      <c r="A594" s="8" t="s">
        <v>3862</v>
      </c>
      <c r="B594" s="8">
        <v>33</v>
      </c>
      <c r="C594" s="8">
        <v>400</v>
      </c>
      <c r="D594" s="8">
        <v>600</v>
      </c>
      <c r="E594" s="2" t="s">
        <v>3863</v>
      </c>
      <c r="F594" s="10">
        <v>254.66</v>
      </c>
      <c r="G594" s="11">
        <f>(FCV)*254.66</f>
        <v>254.66</v>
      </c>
    </row>
    <row r="595" spans="1:7" x14ac:dyDescent="0.2">
      <c r="A595" s="8" t="s">
        <v>5114</v>
      </c>
      <c r="B595" s="8">
        <v>33</v>
      </c>
      <c r="C595" s="8">
        <v>400</v>
      </c>
      <c r="D595" s="8">
        <v>600</v>
      </c>
      <c r="E595" s="2" t="s">
        <v>5115</v>
      </c>
      <c r="F595" s="10">
        <v>254.66</v>
      </c>
      <c r="G595" s="11">
        <f>(FCV)*254.66</f>
        <v>254.66</v>
      </c>
    </row>
    <row r="596" spans="1:7" x14ac:dyDescent="0.2">
      <c r="A596" s="8" t="s">
        <v>3864</v>
      </c>
      <c r="B596" s="8">
        <v>33</v>
      </c>
      <c r="C596" s="8">
        <v>400</v>
      </c>
      <c r="D596" s="8">
        <v>700</v>
      </c>
      <c r="E596" s="2" t="s">
        <v>3865</v>
      </c>
      <c r="F596" s="10">
        <v>270.12</v>
      </c>
      <c r="G596" s="11">
        <f>(FCV)*270.12</f>
        <v>270.12</v>
      </c>
    </row>
    <row r="597" spans="1:7" x14ac:dyDescent="0.2">
      <c r="A597" s="8" t="s">
        <v>5116</v>
      </c>
      <c r="B597" s="8">
        <v>33</v>
      </c>
      <c r="C597" s="8">
        <v>400</v>
      </c>
      <c r="D597" s="8">
        <v>700</v>
      </c>
      <c r="E597" s="2" t="s">
        <v>5117</v>
      </c>
      <c r="F597" s="10">
        <v>270.12</v>
      </c>
      <c r="G597" s="11">
        <f>(FCV)*270.12</f>
        <v>270.12</v>
      </c>
    </row>
    <row r="598" spans="1:7" x14ac:dyDescent="0.2">
      <c r="A598" s="8" t="s">
        <v>3866</v>
      </c>
      <c r="B598" s="8">
        <v>33</v>
      </c>
      <c r="C598" s="8">
        <v>400</v>
      </c>
      <c r="D598" s="8">
        <v>800</v>
      </c>
      <c r="E598" s="2" t="s">
        <v>3867</v>
      </c>
      <c r="F598" s="10">
        <v>286.23</v>
      </c>
      <c r="G598" s="11">
        <f>(FCV)*286.23</f>
        <v>286.23</v>
      </c>
    </row>
    <row r="599" spans="1:7" x14ac:dyDescent="0.2">
      <c r="A599" s="8" t="s">
        <v>5118</v>
      </c>
      <c r="B599" s="8">
        <v>33</v>
      </c>
      <c r="C599" s="8">
        <v>400</v>
      </c>
      <c r="D599" s="8">
        <v>800</v>
      </c>
      <c r="E599" s="2" t="s">
        <v>5119</v>
      </c>
      <c r="F599" s="10">
        <v>286.23</v>
      </c>
      <c r="G599" s="11">
        <f>(FCV)*286.23</f>
        <v>286.23</v>
      </c>
    </row>
    <row r="600" spans="1:7" x14ac:dyDescent="0.2">
      <c r="A600" s="8" t="s">
        <v>3868</v>
      </c>
      <c r="B600" s="8">
        <v>33</v>
      </c>
      <c r="C600" s="8">
        <v>400</v>
      </c>
      <c r="D600" s="8">
        <v>900</v>
      </c>
      <c r="E600" s="2" t="s">
        <v>3869</v>
      </c>
      <c r="F600" s="10">
        <v>303.68</v>
      </c>
      <c r="G600" s="11">
        <f>(FCV)*303.68</f>
        <v>303.68</v>
      </c>
    </row>
    <row r="601" spans="1:7" x14ac:dyDescent="0.2">
      <c r="A601" s="8" t="s">
        <v>5120</v>
      </c>
      <c r="B601" s="8">
        <v>33</v>
      </c>
      <c r="C601" s="8">
        <v>400</v>
      </c>
      <c r="D601" s="8">
        <v>900</v>
      </c>
      <c r="E601" s="2" t="s">
        <v>5121</v>
      </c>
      <c r="F601" s="10">
        <v>303.68</v>
      </c>
      <c r="G601" s="11">
        <f>(FCV)*303.68</f>
        <v>303.68</v>
      </c>
    </row>
    <row r="602" spans="1:7" x14ac:dyDescent="0.2">
      <c r="A602" s="8" t="s">
        <v>3870</v>
      </c>
      <c r="B602" s="8">
        <v>33</v>
      </c>
      <c r="C602" s="8">
        <v>400</v>
      </c>
      <c r="D602" s="8">
        <v>1000</v>
      </c>
      <c r="E602" s="2" t="s">
        <v>3871</v>
      </c>
      <c r="F602" s="10">
        <v>320.89999999999998</v>
      </c>
      <c r="G602" s="11">
        <f>(FCV)*320.9</f>
        <v>320.89999999999998</v>
      </c>
    </row>
    <row r="603" spans="1:7" x14ac:dyDescent="0.2">
      <c r="A603" s="8" t="s">
        <v>5122</v>
      </c>
      <c r="B603" s="8">
        <v>33</v>
      </c>
      <c r="C603" s="8">
        <v>400</v>
      </c>
      <c r="D603" s="8">
        <v>1000</v>
      </c>
      <c r="E603" s="2" t="s">
        <v>5123</v>
      </c>
      <c r="F603" s="10">
        <v>320.89999999999998</v>
      </c>
      <c r="G603" s="11">
        <f>(FCV)*320.9</f>
        <v>320.89999999999998</v>
      </c>
    </row>
    <row r="604" spans="1:7" x14ac:dyDescent="0.2">
      <c r="A604" s="8" t="s">
        <v>3872</v>
      </c>
      <c r="B604" s="8">
        <v>33</v>
      </c>
      <c r="C604" s="8">
        <v>400</v>
      </c>
      <c r="D604" s="8">
        <v>1100</v>
      </c>
      <c r="E604" s="2" t="s">
        <v>3873</v>
      </c>
      <c r="F604" s="10">
        <v>338.77</v>
      </c>
      <c r="G604" s="11">
        <f>(FCV)*338.77</f>
        <v>338.77</v>
      </c>
    </row>
    <row r="605" spans="1:7" x14ac:dyDescent="0.2">
      <c r="A605" s="8" t="s">
        <v>5124</v>
      </c>
      <c r="B605" s="8">
        <v>33</v>
      </c>
      <c r="C605" s="8">
        <v>400</v>
      </c>
      <c r="D605" s="8">
        <v>1100</v>
      </c>
      <c r="E605" s="2" t="s">
        <v>5125</v>
      </c>
      <c r="F605" s="10">
        <v>338.77</v>
      </c>
      <c r="G605" s="11">
        <f>(FCV)*338.77</f>
        <v>338.77</v>
      </c>
    </row>
    <row r="606" spans="1:7" x14ac:dyDescent="0.2">
      <c r="A606" s="8" t="s">
        <v>3874</v>
      </c>
      <c r="B606" s="8">
        <v>33</v>
      </c>
      <c r="C606" s="8">
        <v>400</v>
      </c>
      <c r="D606" s="8">
        <v>1200</v>
      </c>
      <c r="E606" s="2" t="s">
        <v>3875</v>
      </c>
      <c r="F606" s="10">
        <v>356.91</v>
      </c>
      <c r="G606" s="11">
        <f>(FCV)*356.91</f>
        <v>356.91</v>
      </c>
    </row>
    <row r="607" spans="1:7" x14ac:dyDescent="0.2">
      <c r="A607" s="8" t="s">
        <v>5126</v>
      </c>
      <c r="B607" s="8">
        <v>33</v>
      </c>
      <c r="C607" s="8">
        <v>400</v>
      </c>
      <c r="D607" s="8">
        <v>1200</v>
      </c>
      <c r="E607" s="2" t="s">
        <v>5127</v>
      </c>
      <c r="F607" s="10">
        <v>356.91</v>
      </c>
      <c r="G607" s="11">
        <f>(FCV)*356.91</f>
        <v>356.91</v>
      </c>
    </row>
    <row r="608" spans="1:7" x14ac:dyDescent="0.2">
      <c r="A608" s="8" t="s">
        <v>3876</v>
      </c>
      <c r="B608" s="8">
        <v>33</v>
      </c>
      <c r="C608" s="8">
        <v>400</v>
      </c>
      <c r="D608" s="8">
        <v>1400</v>
      </c>
      <c r="E608" s="2" t="s">
        <v>3877</v>
      </c>
      <c r="F608" s="10">
        <v>391.67</v>
      </c>
      <c r="G608" s="11">
        <f>(FCV)*391.67</f>
        <v>391.67</v>
      </c>
    </row>
    <row r="609" spans="1:7" x14ac:dyDescent="0.2">
      <c r="A609" s="8" t="s">
        <v>5128</v>
      </c>
      <c r="B609" s="8">
        <v>33</v>
      </c>
      <c r="C609" s="8">
        <v>400</v>
      </c>
      <c r="D609" s="8">
        <v>1400</v>
      </c>
      <c r="E609" s="2" t="s">
        <v>5129</v>
      </c>
      <c r="F609" s="10">
        <v>391.67</v>
      </c>
      <c r="G609" s="11">
        <f>(FCV)*391.67</f>
        <v>391.67</v>
      </c>
    </row>
    <row r="610" spans="1:7" x14ac:dyDescent="0.2">
      <c r="A610" s="8" t="s">
        <v>3878</v>
      </c>
      <c r="B610" s="8">
        <v>33</v>
      </c>
      <c r="C610" s="8">
        <v>400</v>
      </c>
      <c r="D610" s="8">
        <v>1600</v>
      </c>
      <c r="E610" s="2" t="s">
        <v>3879</v>
      </c>
      <c r="F610" s="10">
        <v>426.56</v>
      </c>
      <c r="G610" s="11">
        <f>(FCV)*426.56</f>
        <v>426.56</v>
      </c>
    </row>
    <row r="611" spans="1:7" x14ac:dyDescent="0.2">
      <c r="A611" s="8" t="s">
        <v>5130</v>
      </c>
      <c r="B611" s="8">
        <v>33</v>
      </c>
      <c r="C611" s="8">
        <v>400</v>
      </c>
      <c r="D611" s="8">
        <v>1600</v>
      </c>
      <c r="E611" s="2" t="s">
        <v>5131</v>
      </c>
      <c r="F611" s="10">
        <v>426.56</v>
      </c>
      <c r="G611" s="11">
        <f>(FCV)*426.56</f>
        <v>426.56</v>
      </c>
    </row>
    <row r="612" spans="1:7" x14ac:dyDescent="0.2">
      <c r="A612" s="8" t="s">
        <v>3880</v>
      </c>
      <c r="B612" s="8">
        <v>33</v>
      </c>
      <c r="C612" s="8">
        <v>400</v>
      </c>
      <c r="D612" s="8">
        <v>1800</v>
      </c>
      <c r="E612" s="2" t="s">
        <v>3881</v>
      </c>
      <c r="F612" s="10">
        <v>462</v>
      </c>
      <c r="G612" s="11">
        <f>(FCV)*462</f>
        <v>462</v>
      </c>
    </row>
    <row r="613" spans="1:7" x14ac:dyDescent="0.2">
      <c r="A613" s="8" t="s">
        <v>5132</v>
      </c>
      <c r="B613" s="8">
        <v>33</v>
      </c>
      <c r="C613" s="8">
        <v>400</v>
      </c>
      <c r="D613" s="8">
        <v>1800</v>
      </c>
      <c r="E613" s="2" t="s">
        <v>5133</v>
      </c>
      <c r="F613" s="10">
        <v>462</v>
      </c>
      <c r="G613" s="11">
        <f>(FCV)*462</f>
        <v>462</v>
      </c>
    </row>
    <row r="614" spans="1:7" x14ac:dyDescent="0.2">
      <c r="A614" s="8" t="s">
        <v>3882</v>
      </c>
      <c r="B614" s="8">
        <v>33</v>
      </c>
      <c r="C614" s="8">
        <v>400</v>
      </c>
      <c r="D614" s="8">
        <v>2000</v>
      </c>
      <c r="E614" s="2" t="s">
        <v>3883</v>
      </c>
      <c r="F614" s="10">
        <v>496.99</v>
      </c>
      <c r="G614" s="11">
        <f>(FCV)*496.99</f>
        <v>496.99</v>
      </c>
    </row>
    <row r="615" spans="1:7" x14ac:dyDescent="0.2">
      <c r="A615" s="8" t="s">
        <v>5134</v>
      </c>
      <c r="B615" s="8">
        <v>33</v>
      </c>
      <c r="C615" s="8">
        <v>400</v>
      </c>
      <c r="D615" s="8">
        <v>2000</v>
      </c>
      <c r="E615" s="2" t="s">
        <v>5135</v>
      </c>
      <c r="F615" s="10">
        <v>496.99</v>
      </c>
      <c r="G615" s="11">
        <f>(FCV)*496.99</f>
        <v>496.99</v>
      </c>
    </row>
    <row r="616" spans="1:7" x14ac:dyDescent="0.2">
      <c r="A616" s="8" t="s">
        <v>3884</v>
      </c>
      <c r="B616" s="8">
        <v>33</v>
      </c>
      <c r="C616" s="8">
        <v>400</v>
      </c>
      <c r="D616" s="8">
        <v>2300</v>
      </c>
      <c r="E616" s="2" t="s">
        <v>3885</v>
      </c>
      <c r="F616" s="10">
        <v>550.08000000000004</v>
      </c>
      <c r="G616" s="11">
        <f>(FCV)*550.08</f>
        <v>550.08000000000004</v>
      </c>
    </row>
    <row r="617" spans="1:7" x14ac:dyDescent="0.2">
      <c r="A617" s="8" t="s">
        <v>5136</v>
      </c>
      <c r="B617" s="8">
        <v>33</v>
      </c>
      <c r="C617" s="8">
        <v>400</v>
      </c>
      <c r="D617" s="8">
        <v>2300</v>
      </c>
      <c r="E617" s="2" t="s">
        <v>5137</v>
      </c>
      <c r="F617" s="10">
        <v>550.08000000000004</v>
      </c>
      <c r="G617" s="11">
        <f>(FCV)*550.08</f>
        <v>550.08000000000004</v>
      </c>
    </row>
    <row r="618" spans="1:7" x14ac:dyDescent="0.2">
      <c r="A618" s="8" t="s">
        <v>3886</v>
      </c>
      <c r="B618" s="8">
        <v>33</v>
      </c>
      <c r="C618" s="8">
        <v>400</v>
      </c>
      <c r="D618" s="8">
        <v>2600</v>
      </c>
      <c r="E618" s="2" t="s">
        <v>3887</v>
      </c>
      <c r="F618" s="10">
        <v>602.42999999999995</v>
      </c>
      <c r="G618" s="11">
        <f>(FCV)*602.43</f>
        <v>602.42999999999995</v>
      </c>
    </row>
    <row r="619" spans="1:7" x14ac:dyDescent="0.2">
      <c r="A619" s="8" t="s">
        <v>5138</v>
      </c>
      <c r="B619" s="8">
        <v>33</v>
      </c>
      <c r="C619" s="8">
        <v>400</v>
      </c>
      <c r="D619" s="8">
        <v>2600</v>
      </c>
      <c r="E619" s="2" t="s">
        <v>5139</v>
      </c>
      <c r="F619" s="10">
        <v>602.42999999999995</v>
      </c>
      <c r="G619" s="11">
        <f>(FCV)*602.43</f>
        <v>602.42999999999995</v>
      </c>
    </row>
    <row r="620" spans="1:7" x14ac:dyDescent="0.2">
      <c r="A620" s="8" t="s">
        <v>3888</v>
      </c>
      <c r="B620" s="8">
        <v>33</v>
      </c>
      <c r="C620" s="8">
        <v>400</v>
      </c>
      <c r="D620" s="8">
        <v>3000</v>
      </c>
      <c r="E620" s="2" t="s">
        <v>3889</v>
      </c>
      <c r="F620" s="10">
        <v>659.15</v>
      </c>
      <c r="G620" s="11">
        <f>(FCV)*659.15</f>
        <v>659.15</v>
      </c>
    </row>
    <row r="621" spans="1:7" x14ac:dyDescent="0.2">
      <c r="A621" s="8" t="s">
        <v>5140</v>
      </c>
      <c r="B621" s="8">
        <v>33</v>
      </c>
      <c r="C621" s="8">
        <v>400</v>
      </c>
      <c r="D621" s="8">
        <v>3000</v>
      </c>
      <c r="E621" s="2" t="s">
        <v>5141</v>
      </c>
      <c r="F621" s="10">
        <v>659.15</v>
      </c>
      <c r="G621" s="11">
        <f>(FCV)*659.15</f>
        <v>659.15</v>
      </c>
    </row>
    <row r="622" spans="1:7" x14ac:dyDescent="0.2">
      <c r="A622" s="8" t="s">
        <v>3890</v>
      </c>
      <c r="B622" s="8">
        <v>33</v>
      </c>
      <c r="C622" s="8">
        <v>500</v>
      </c>
      <c r="D622" s="8">
        <v>400</v>
      </c>
      <c r="E622" s="2" t="s">
        <v>3891</v>
      </c>
      <c r="F622" s="10">
        <v>254.66</v>
      </c>
      <c r="G622" s="11">
        <f>(FCV)*254.66</f>
        <v>254.66</v>
      </c>
    </row>
    <row r="623" spans="1:7" x14ac:dyDescent="0.2">
      <c r="A623" s="8" t="s">
        <v>5142</v>
      </c>
      <c r="B623" s="8">
        <v>33</v>
      </c>
      <c r="C623" s="8">
        <v>500</v>
      </c>
      <c r="D623" s="8">
        <v>400</v>
      </c>
      <c r="E623" s="2" t="s">
        <v>5143</v>
      </c>
      <c r="F623" s="10">
        <v>254.66</v>
      </c>
      <c r="G623" s="11">
        <f>(FCV)*254.66</f>
        <v>254.66</v>
      </c>
    </row>
    <row r="624" spans="1:7" x14ac:dyDescent="0.2">
      <c r="A624" s="8" t="s">
        <v>3892</v>
      </c>
      <c r="B624" s="8">
        <v>33</v>
      </c>
      <c r="C624" s="8">
        <v>500</v>
      </c>
      <c r="D624" s="8">
        <v>500</v>
      </c>
      <c r="E624" s="2" t="s">
        <v>3893</v>
      </c>
      <c r="F624" s="10">
        <v>271.47000000000003</v>
      </c>
      <c r="G624" s="11">
        <f>(FCV)*271.47</f>
        <v>271.47000000000003</v>
      </c>
    </row>
    <row r="625" spans="1:7" x14ac:dyDescent="0.2">
      <c r="A625" s="8" t="s">
        <v>5144</v>
      </c>
      <c r="B625" s="8">
        <v>33</v>
      </c>
      <c r="C625" s="8">
        <v>500</v>
      </c>
      <c r="D625" s="8">
        <v>500</v>
      </c>
      <c r="E625" s="2" t="s">
        <v>5145</v>
      </c>
      <c r="F625" s="10">
        <v>271.47000000000003</v>
      </c>
      <c r="G625" s="11">
        <f>(FCV)*271.47</f>
        <v>271.47000000000003</v>
      </c>
    </row>
    <row r="626" spans="1:7" x14ac:dyDescent="0.2">
      <c r="A626" s="8" t="s">
        <v>3894</v>
      </c>
      <c r="B626" s="8">
        <v>33</v>
      </c>
      <c r="C626" s="8">
        <v>500</v>
      </c>
      <c r="D626" s="8">
        <v>600</v>
      </c>
      <c r="E626" s="2" t="s">
        <v>3895</v>
      </c>
      <c r="F626" s="10">
        <v>289.55</v>
      </c>
      <c r="G626" s="11">
        <f>(FCV)*289.55</f>
        <v>289.55</v>
      </c>
    </row>
    <row r="627" spans="1:7" x14ac:dyDescent="0.2">
      <c r="A627" s="8" t="s">
        <v>5146</v>
      </c>
      <c r="B627" s="8">
        <v>33</v>
      </c>
      <c r="C627" s="8">
        <v>500</v>
      </c>
      <c r="D627" s="8">
        <v>600</v>
      </c>
      <c r="E627" s="2" t="s">
        <v>5147</v>
      </c>
      <c r="F627" s="10">
        <v>289.55</v>
      </c>
      <c r="G627" s="11">
        <f>(FCV)*289.55</f>
        <v>289.55</v>
      </c>
    </row>
    <row r="628" spans="1:7" x14ac:dyDescent="0.2">
      <c r="A628" s="8" t="s">
        <v>3896</v>
      </c>
      <c r="B628" s="8">
        <v>33</v>
      </c>
      <c r="C628" s="8">
        <v>500</v>
      </c>
      <c r="D628" s="8">
        <v>700</v>
      </c>
      <c r="E628" s="2" t="s">
        <v>3897</v>
      </c>
      <c r="F628" s="10">
        <v>308.20999999999998</v>
      </c>
      <c r="G628" s="11">
        <f>(FCV)*308.21</f>
        <v>308.20999999999998</v>
      </c>
    </row>
    <row r="629" spans="1:7" x14ac:dyDescent="0.2">
      <c r="A629" s="8" t="s">
        <v>5148</v>
      </c>
      <c r="B629" s="8">
        <v>33</v>
      </c>
      <c r="C629" s="8">
        <v>500</v>
      </c>
      <c r="D629" s="8">
        <v>700</v>
      </c>
      <c r="E629" s="2" t="s">
        <v>5149</v>
      </c>
      <c r="F629" s="10">
        <v>308.20999999999998</v>
      </c>
      <c r="G629" s="11">
        <f>(FCV)*308.21</f>
        <v>308.20999999999998</v>
      </c>
    </row>
    <row r="630" spans="1:7" x14ac:dyDescent="0.2">
      <c r="A630" s="8" t="s">
        <v>3898</v>
      </c>
      <c r="B630" s="8">
        <v>33</v>
      </c>
      <c r="C630" s="8">
        <v>500</v>
      </c>
      <c r="D630" s="8">
        <v>800</v>
      </c>
      <c r="E630" s="2" t="s">
        <v>3899</v>
      </c>
      <c r="F630" s="10">
        <v>328.19</v>
      </c>
      <c r="G630" s="11">
        <f>(FCV)*328.19</f>
        <v>328.19</v>
      </c>
    </row>
    <row r="631" spans="1:7" x14ac:dyDescent="0.2">
      <c r="A631" s="8" t="s">
        <v>5150</v>
      </c>
      <c r="B631" s="8">
        <v>33</v>
      </c>
      <c r="C631" s="8">
        <v>500</v>
      </c>
      <c r="D631" s="8">
        <v>800</v>
      </c>
      <c r="E631" s="2" t="s">
        <v>5151</v>
      </c>
      <c r="F631" s="10">
        <v>328.19</v>
      </c>
      <c r="G631" s="11">
        <f>(FCV)*328.19</f>
        <v>328.19</v>
      </c>
    </row>
    <row r="632" spans="1:7" x14ac:dyDescent="0.2">
      <c r="A632" s="8" t="s">
        <v>3900</v>
      </c>
      <c r="B632" s="8">
        <v>33</v>
      </c>
      <c r="C632" s="8">
        <v>500</v>
      </c>
      <c r="D632" s="8">
        <v>900</v>
      </c>
      <c r="E632" s="2" t="s">
        <v>3901</v>
      </c>
      <c r="F632" s="10">
        <v>350.4</v>
      </c>
      <c r="G632" s="11">
        <f>(FCV)*350.4</f>
        <v>350.4</v>
      </c>
    </row>
    <row r="633" spans="1:7" x14ac:dyDescent="0.2">
      <c r="A633" s="8" t="s">
        <v>5152</v>
      </c>
      <c r="B633" s="8">
        <v>33</v>
      </c>
      <c r="C633" s="8">
        <v>500</v>
      </c>
      <c r="D633" s="8">
        <v>900</v>
      </c>
      <c r="E633" s="2" t="s">
        <v>5153</v>
      </c>
      <c r="F633" s="10">
        <v>350.4</v>
      </c>
      <c r="G633" s="11">
        <f>(FCV)*350.4</f>
        <v>350.4</v>
      </c>
    </row>
    <row r="634" spans="1:7" x14ac:dyDescent="0.2">
      <c r="A634" s="8" t="s">
        <v>3902</v>
      </c>
      <c r="B634" s="8">
        <v>33</v>
      </c>
      <c r="C634" s="8">
        <v>500</v>
      </c>
      <c r="D634" s="8">
        <v>1000</v>
      </c>
      <c r="E634" s="2" t="s">
        <v>3903</v>
      </c>
      <c r="F634" s="10">
        <v>371.7</v>
      </c>
      <c r="G634" s="11">
        <f>(FCV)*371.7</f>
        <v>371.7</v>
      </c>
    </row>
    <row r="635" spans="1:7" x14ac:dyDescent="0.2">
      <c r="A635" s="8" t="s">
        <v>5154</v>
      </c>
      <c r="B635" s="8">
        <v>33</v>
      </c>
      <c r="C635" s="8">
        <v>500</v>
      </c>
      <c r="D635" s="8">
        <v>1000</v>
      </c>
      <c r="E635" s="2" t="s">
        <v>5155</v>
      </c>
      <c r="F635" s="10">
        <v>371.7</v>
      </c>
      <c r="G635" s="11">
        <f>(FCV)*371.7</f>
        <v>371.7</v>
      </c>
    </row>
    <row r="636" spans="1:7" x14ac:dyDescent="0.2">
      <c r="A636" s="8" t="s">
        <v>3904</v>
      </c>
      <c r="B636" s="8">
        <v>33</v>
      </c>
      <c r="C636" s="8">
        <v>500</v>
      </c>
      <c r="D636" s="8">
        <v>1100</v>
      </c>
      <c r="E636" s="2" t="s">
        <v>3905</v>
      </c>
      <c r="F636" s="10">
        <v>393.33</v>
      </c>
      <c r="G636" s="11">
        <f>(FCV)*393.33</f>
        <v>393.33</v>
      </c>
    </row>
    <row r="637" spans="1:7" x14ac:dyDescent="0.2">
      <c r="A637" s="8" t="s">
        <v>5156</v>
      </c>
      <c r="B637" s="8">
        <v>33</v>
      </c>
      <c r="C637" s="8">
        <v>500</v>
      </c>
      <c r="D637" s="8">
        <v>1100</v>
      </c>
      <c r="E637" s="2" t="s">
        <v>5157</v>
      </c>
      <c r="F637" s="10">
        <v>393.33</v>
      </c>
      <c r="G637" s="11">
        <f>(FCV)*393.33</f>
        <v>393.33</v>
      </c>
    </row>
    <row r="638" spans="1:7" x14ac:dyDescent="0.2">
      <c r="A638" s="8" t="s">
        <v>3906</v>
      </c>
      <c r="B638" s="8">
        <v>33</v>
      </c>
      <c r="C638" s="8">
        <v>500</v>
      </c>
      <c r="D638" s="8">
        <v>1200</v>
      </c>
      <c r="E638" s="2" t="s">
        <v>3907</v>
      </c>
      <c r="F638" s="10">
        <v>415.08</v>
      </c>
      <c r="G638" s="11">
        <f>(FCV)*415.08</f>
        <v>415.08</v>
      </c>
    </row>
    <row r="639" spans="1:7" x14ac:dyDescent="0.2">
      <c r="A639" s="8" t="s">
        <v>5158</v>
      </c>
      <c r="B639" s="8">
        <v>33</v>
      </c>
      <c r="C639" s="8">
        <v>500</v>
      </c>
      <c r="D639" s="8">
        <v>1200</v>
      </c>
      <c r="E639" s="2" t="s">
        <v>5159</v>
      </c>
      <c r="F639" s="10">
        <v>415.08</v>
      </c>
      <c r="G639" s="11">
        <f>(FCV)*415.08</f>
        <v>415.08</v>
      </c>
    </row>
    <row r="640" spans="1:7" x14ac:dyDescent="0.2">
      <c r="A640" s="8" t="s">
        <v>3908</v>
      </c>
      <c r="B640" s="8">
        <v>33</v>
      </c>
      <c r="C640" s="8">
        <v>500</v>
      </c>
      <c r="D640" s="8">
        <v>1400</v>
      </c>
      <c r="E640" s="2" t="s">
        <v>3909</v>
      </c>
      <c r="F640" s="8">
        <v>457.7</v>
      </c>
      <c r="G640" s="11">
        <f>(FCV)*457.7</f>
        <v>457.7</v>
      </c>
    </row>
    <row r="641" spans="1:7" x14ac:dyDescent="0.2">
      <c r="A641" s="8" t="s">
        <v>5160</v>
      </c>
      <c r="B641" s="8">
        <v>33</v>
      </c>
      <c r="C641" s="8">
        <v>500</v>
      </c>
      <c r="D641" s="8">
        <v>1400</v>
      </c>
      <c r="E641" s="2" t="s">
        <v>5161</v>
      </c>
      <c r="F641" s="8">
        <v>457.7</v>
      </c>
      <c r="G641" s="11">
        <f>(FCV)*457.7</f>
        <v>457.7</v>
      </c>
    </row>
    <row r="642" spans="1:7" x14ac:dyDescent="0.2">
      <c r="A642" s="8" t="s">
        <v>3910</v>
      </c>
      <c r="B642" s="8">
        <v>33</v>
      </c>
      <c r="C642" s="8">
        <v>500</v>
      </c>
      <c r="D642" s="8">
        <v>1600</v>
      </c>
      <c r="E642" s="2" t="s">
        <v>3911</v>
      </c>
      <c r="F642" s="8">
        <v>500.96</v>
      </c>
      <c r="G642" s="11">
        <f>(FCV)*500.96</f>
        <v>500.96</v>
      </c>
    </row>
    <row r="643" spans="1:7" x14ac:dyDescent="0.2">
      <c r="A643" s="8" t="s">
        <v>5162</v>
      </c>
      <c r="B643" s="8">
        <v>33</v>
      </c>
      <c r="C643" s="8">
        <v>500</v>
      </c>
      <c r="D643" s="8">
        <v>1600</v>
      </c>
      <c r="E643" s="2" t="s">
        <v>5163</v>
      </c>
      <c r="F643" s="8">
        <v>500.96</v>
      </c>
      <c r="G643" s="11">
        <f>(FCV)*500.96</f>
        <v>500.96</v>
      </c>
    </row>
    <row r="644" spans="1:7" x14ac:dyDescent="0.2">
      <c r="A644" s="8" t="s">
        <v>3912</v>
      </c>
      <c r="B644" s="8">
        <v>33</v>
      </c>
      <c r="C644" s="8">
        <v>500</v>
      </c>
      <c r="D644" s="8">
        <v>1800</v>
      </c>
      <c r="E644" s="2" t="s">
        <v>3913</v>
      </c>
      <c r="F644" s="8">
        <v>543.67999999999995</v>
      </c>
      <c r="G644" s="11">
        <f>(FCV)*543.68</f>
        <v>543.67999999999995</v>
      </c>
    </row>
    <row r="645" spans="1:7" x14ac:dyDescent="0.2">
      <c r="A645" s="8" t="s">
        <v>5164</v>
      </c>
      <c r="B645" s="8">
        <v>33</v>
      </c>
      <c r="C645" s="8">
        <v>500</v>
      </c>
      <c r="D645" s="8">
        <v>1800</v>
      </c>
      <c r="E645" s="2" t="s">
        <v>5165</v>
      </c>
      <c r="F645" s="8">
        <v>543.67999999999995</v>
      </c>
      <c r="G645" s="11">
        <f>(FCV)*543.68</f>
        <v>543.67999999999995</v>
      </c>
    </row>
    <row r="646" spans="1:7" x14ac:dyDescent="0.2">
      <c r="A646" s="8" t="s">
        <v>3914</v>
      </c>
      <c r="B646" s="8">
        <v>33</v>
      </c>
      <c r="C646" s="8">
        <v>500</v>
      </c>
      <c r="D646" s="8">
        <v>2000</v>
      </c>
      <c r="E646" s="2" t="s">
        <v>3915</v>
      </c>
      <c r="F646" s="8">
        <v>586.51</v>
      </c>
      <c r="G646" s="11">
        <f>(FCV)*586.51</f>
        <v>586.51</v>
      </c>
    </row>
    <row r="647" spans="1:7" x14ac:dyDescent="0.2">
      <c r="A647" s="8" t="s">
        <v>5166</v>
      </c>
      <c r="B647" s="8">
        <v>33</v>
      </c>
      <c r="C647" s="8">
        <v>500</v>
      </c>
      <c r="D647" s="8">
        <v>2000</v>
      </c>
      <c r="E647" s="2" t="s">
        <v>5167</v>
      </c>
      <c r="F647" s="8">
        <v>586.51</v>
      </c>
      <c r="G647" s="11">
        <f>(FCV)*586.51</f>
        <v>586.51</v>
      </c>
    </row>
    <row r="648" spans="1:7" x14ac:dyDescent="0.2">
      <c r="A648" s="8" t="s">
        <v>3916</v>
      </c>
      <c r="B648" s="8">
        <v>33</v>
      </c>
      <c r="C648" s="8">
        <v>500</v>
      </c>
      <c r="D648" s="8">
        <v>2300</v>
      </c>
      <c r="E648" s="2" t="s">
        <v>3917</v>
      </c>
      <c r="F648" s="8">
        <v>651.64</v>
      </c>
      <c r="G648" s="11">
        <f>(FCV)*651.64</f>
        <v>651.64</v>
      </c>
    </row>
    <row r="649" spans="1:7" x14ac:dyDescent="0.2">
      <c r="A649" s="8" t="s">
        <v>5168</v>
      </c>
      <c r="B649" s="8">
        <v>33</v>
      </c>
      <c r="C649" s="8">
        <v>500</v>
      </c>
      <c r="D649" s="8">
        <v>2300</v>
      </c>
      <c r="E649" s="2" t="s">
        <v>5169</v>
      </c>
      <c r="F649" s="8">
        <v>651.64</v>
      </c>
      <c r="G649" s="11">
        <f>(FCV)*651.64</f>
        <v>651.64</v>
      </c>
    </row>
    <row r="650" spans="1:7" x14ac:dyDescent="0.2">
      <c r="A650" s="8" t="s">
        <v>3918</v>
      </c>
      <c r="B650" s="8">
        <v>33</v>
      </c>
      <c r="C650" s="8">
        <v>500</v>
      </c>
      <c r="D650" s="8">
        <v>2600</v>
      </c>
      <c r="E650" s="2" t="s">
        <v>3919</v>
      </c>
      <c r="F650" s="8">
        <v>716.11</v>
      </c>
      <c r="G650" s="11">
        <f>(FCV)*716.11</f>
        <v>716.11</v>
      </c>
    </row>
    <row r="651" spans="1:7" x14ac:dyDescent="0.2">
      <c r="A651" s="8" t="s">
        <v>5170</v>
      </c>
      <c r="B651" s="8">
        <v>33</v>
      </c>
      <c r="C651" s="8">
        <v>500</v>
      </c>
      <c r="D651" s="8">
        <v>2600</v>
      </c>
      <c r="E651" s="2" t="s">
        <v>5171</v>
      </c>
      <c r="F651" s="8">
        <v>716.11</v>
      </c>
      <c r="G651" s="11">
        <f>(FCV)*716.11</f>
        <v>716.11</v>
      </c>
    </row>
    <row r="652" spans="1:7" x14ac:dyDescent="0.2">
      <c r="A652" s="8" t="s">
        <v>3920</v>
      </c>
      <c r="B652" s="8">
        <v>33</v>
      </c>
      <c r="C652" s="8">
        <v>500</v>
      </c>
      <c r="D652" s="8">
        <v>3000</v>
      </c>
      <c r="E652" s="2" t="s">
        <v>3921</v>
      </c>
      <c r="F652" s="8">
        <v>786.77</v>
      </c>
      <c r="G652" s="11">
        <f>(FCV)*786.77</f>
        <v>786.77</v>
      </c>
    </row>
    <row r="653" spans="1:7" x14ac:dyDescent="0.2">
      <c r="A653" s="8" t="s">
        <v>5172</v>
      </c>
      <c r="B653" s="8">
        <v>33</v>
      </c>
      <c r="C653" s="8">
        <v>500</v>
      </c>
      <c r="D653" s="8">
        <v>3000</v>
      </c>
      <c r="E653" s="2" t="s">
        <v>5173</v>
      </c>
      <c r="F653" s="8">
        <v>786.77</v>
      </c>
      <c r="G653" s="11">
        <f>(FCV)*786.77</f>
        <v>786.77</v>
      </c>
    </row>
    <row r="654" spans="1:7" x14ac:dyDescent="0.2">
      <c r="A654" s="8" t="s">
        <v>3922</v>
      </c>
      <c r="B654" s="8">
        <v>33</v>
      </c>
      <c r="C654" s="8">
        <v>600</v>
      </c>
      <c r="D654" s="8">
        <v>400</v>
      </c>
      <c r="E654" s="2" t="s">
        <v>3923</v>
      </c>
      <c r="F654" s="8">
        <v>268.25</v>
      </c>
      <c r="G654" s="11">
        <f>(FCV)*268.25</f>
        <v>268.25</v>
      </c>
    </row>
    <row r="655" spans="1:7" x14ac:dyDescent="0.2">
      <c r="A655" s="8" t="s">
        <v>5174</v>
      </c>
      <c r="B655" s="8">
        <v>33</v>
      </c>
      <c r="C655" s="8">
        <v>600</v>
      </c>
      <c r="D655" s="8">
        <v>400</v>
      </c>
      <c r="E655" s="2" t="s">
        <v>5175</v>
      </c>
      <c r="F655" s="8">
        <v>268.25</v>
      </c>
      <c r="G655" s="11">
        <f>(FCV)*268.25</f>
        <v>268.25</v>
      </c>
    </row>
    <row r="656" spans="1:7" x14ac:dyDescent="0.2">
      <c r="A656" s="8" t="s">
        <v>3924</v>
      </c>
      <c r="B656" s="8">
        <v>33</v>
      </c>
      <c r="C656" s="8">
        <v>600</v>
      </c>
      <c r="D656" s="8">
        <v>500</v>
      </c>
      <c r="E656" s="2" t="s">
        <v>3925</v>
      </c>
      <c r="F656" s="8">
        <v>285.82</v>
      </c>
      <c r="G656" s="11">
        <f>(FCV)*285.82</f>
        <v>285.82</v>
      </c>
    </row>
    <row r="657" spans="1:7" x14ac:dyDescent="0.2">
      <c r="A657" s="8" t="s">
        <v>5176</v>
      </c>
      <c r="B657" s="8">
        <v>33</v>
      </c>
      <c r="C657" s="8">
        <v>600</v>
      </c>
      <c r="D657" s="8">
        <v>500</v>
      </c>
      <c r="E657" s="2" t="s">
        <v>5177</v>
      </c>
      <c r="F657" s="8">
        <v>285.82</v>
      </c>
      <c r="G657" s="11">
        <f>(FCV)*285.82</f>
        <v>285.82</v>
      </c>
    </row>
    <row r="658" spans="1:7" x14ac:dyDescent="0.2">
      <c r="A658" s="8" t="s">
        <v>3926</v>
      </c>
      <c r="B658" s="8">
        <v>33</v>
      </c>
      <c r="C658" s="8">
        <v>600</v>
      </c>
      <c r="D658" s="8">
        <v>600</v>
      </c>
      <c r="E658" s="2" t="s">
        <v>3927</v>
      </c>
      <c r="F658" s="8">
        <v>305.43</v>
      </c>
      <c r="G658" s="11">
        <f>(FCV)*305.43</f>
        <v>305.43</v>
      </c>
    </row>
    <row r="659" spans="1:7" x14ac:dyDescent="0.2">
      <c r="A659" s="8" t="s">
        <v>5178</v>
      </c>
      <c r="B659" s="8">
        <v>33</v>
      </c>
      <c r="C659" s="8">
        <v>600</v>
      </c>
      <c r="D659" s="8">
        <v>600</v>
      </c>
      <c r="E659" s="2" t="s">
        <v>5179</v>
      </c>
      <c r="F659" s="8">
        <v>305.43</v>
      </c>
      <c r="G659" s="11">
        <f>(FCV)*305.43</f>
        <v>305.43</v>
      </c>
    </row>
    <row r="660" spans="1:7" x14ac:dyDescent="0.2">
      <c r="A660" s="8" t="s">
        <v>3928</v>
      </c>
      <c r="B660" s="8">
        <v>33</v>
      </c>
      <c r="C660" s="8">
        <v>600</v>
      </c>
      <c r="D660" s="8">
        <v>700</v>
      </c>
      <c r="E660" s="2" t="s">
        <v>3929</v>
      </c>
      <c r="F660" s="8">
        <v>326.43</v>
      </c>
      <c r="G660" s="11">
        <f>(FCV)*326.43</f>
        <v>326.43</v>
      </c>
    </row>
    <row r="661" spans="1:7" x14ac:dyDescent="0.2">
      <c r="A661" s="8" t="s">
        <v>5180</v>
      </c>
      <c r="B661" s="8">
        <v>33</v>
      </c>
      <c r="C661" s="8">
        <v>600</v>
      </c>
      <c r="D661" s="8">
        <v>700</v>
      </c>
      <c r="E661" s="2" t="s">
        <v>5181</v>
      </c>
      <c r="F661" s="8">
        <v>326.43</v>
      </c>
      <c r="G661" s="11">
        <f>(FCV)*326.43</f>
        <v>326.43</v>
      </c>
    </row>
    <row r="662" spans="1:7" x14ac:dyDescent="0.2">
      <c r="A662" s="8" t="s">
        <v>3930</v>
      </c>
      <c r="B662" s="8">
        <v>33</v>
      </c>
      <c r="C662" s="8">
        <v>600</v>
      </c>
      <c r="D662" s="8">
        <v>800</v>
      </c>
      <c r="E662" s="2" t="s">
        <v>3931</v>
      </c>
      <c r="F662" s="8">
        <v>348.95</v>
      </c>
      <c r="G662" s="11">
        <f>(FCV)*348.95</f>
        <v>348.95</v>
      </c>
    </row>
    <row r="663" spans="1:7" x14ac:dyDescent="0.2">
      <c r="A663" s="8" t="s">
        <v>5182</v>
      </c>
      <c r="B663" s="8">
        <v>33</v>
      </c>
      <c r="C663" s="8">
        <v>600</v>
      </c>
      <c r="D663" s="8">
        <v>800</v>
      </c>
      <c r="E663" s="2" t="s">
        <v>5183</v>
      </c>
      <c r="F663" s="8">
        <v>348.95</v>
      </c>
      <c r="G663" s="11">
        <f>(FCV)*348.95</f>
        <v>348.95</v>
      </c>
    </row>
    <row r="664" spans="1:7" x14ac:dyDescent="0.2">
      <c r="A664" s="8" t="s">
        <v>3932</v>
      </c>
      <c r="B664" s="8">
        <v>33</v>
      </c>
      <c r="C664" s="8">
        <v>600</v>
      </c>
      <c r="D664" s="8">
        <v>900</v>
      </c>
      <c r="E664" s="2" t="s">
        <v>3933</v>
      </c>
      <c r="F664" s="8">
        <v>372.69</v>
      </c>
      <c r="G664" s="11">
        <f>(FCV)*372.69</f>
        <v>372.69</v>
      </c>
    </row>
    <row r="665" spans="1:7" x14ac:dyDescent="0.2">
      <c r="A665" s="8" t="s">
        <v>5184</v>
      </c>
      <c r="B665" s="8">
        <v>33</v>
      </c>
      <c r="C665" s="8">
        <v>600</v>
      </c>
      <c r="D665" s="8">
        <v>900</v>
      </c>
      <c r="E665" s="2" t="s">
        <v>5185</v>
      </c>
      <c r="F665" s="8">
        <v>372.69</v>
      </c>
      <c r="G665" s="11">
        <f>(FCV)*372.69</f>
        <v>372.69</v>
      </c>
    </row>
    <row r="666" spans="1:7" x14ac:dyDescent="0.2">
      <c r="A666" s="8" t="s">
        <v>3934</v>
      </c>
      <c r="B666" s="8">
        <v>33</v>
      </c>
      <c r="C666" s="8">
        <v>600</v>
      </c>
      <c r="D666" s="8">
        <v>1000</v>
      </c>
      <c r="E666" s="2" t="s">
        <v>3935</v>
      </c>
      <c r="F666" s="8">
        <v>396.53</v>
      </c>
      <c r="G666" s="11">
        <f>(FCV)*396.53</f>
        <v>396.53</v>
      </c>
    </row>
    <row r="667" spans="1:7" x14ac:dyDescent="0.2">
      <c r="A667" s="8" t="s">
        <v>5186</v>
      </c>
      <c r="B667" s="8">
        <v>33</v>
      </c>
      <c r="C667" s="8">
        <v>600</v>
      </c>
      <c r="D667" s="8">
        <v>1000</v>
      </c>
      <c r="E667" s="2" t="s">
        <v>5187</v>
      </c>
      <c r="F667" s="8">
        <v>396.53</v>
      </c>
      <c r="G667" s="11">
        <f>(FCV)*396.53</f>
        <v>396.53</v>
      </c>
    </row>
    <row r="668" spans="1:7" x14ac:dyDescent="0.2">
      <c r="A668" s="8" t="s">
        <v>3936</v>
      </c>
      <c r="B668" s="8">
        <v>33</v>
      </c>
      <c r="C668" s="8">
        <v>600</v>
      </c>
      <c r="D668" s="8">
        <v>1100</v>
      </c>
      <c r="E668" s="2" t="s">
        <v>3937</v>
      </c>
      <c r="F668" s="8">
        <v>420.47</v>
      </c>
      <c r="G668" s="11">
        <f>(FCV)*420.47</f>
        <v>420.47</v>
      </c>
    </row>
    <row r="669" spans="1:7" x14ac:dyDescent="0.2">
      <c r="A669" s="8" t="s">
        <v>5188</v>
      </c>
      <c r="B669" s="8">
        <v>33</v>
      </c>
      <c r="C669" s="8">
        <v>600</v>
      </c>
      <c r="D669" s="8">
        <v>1100</v>
      </c>
      <c r="E669" s="2" t="s">
        <v>5189</v>
      </c>
      <c r="F669" s="8">
        <v>420.47</v>
      </c>
      <c r="G669" s="11">
        <f>(FCV)*420.47</f>
        <v>420.47</v>
      </c>
    </row>
    <row r="670" spans="1:7" x14ac:dyDescent="0.2">
      <c r="A670" s="8" t="s">
        <v>3938</v>
      </c>
      <c r="B670" s="8">
        <v>33</v>
      </c>
      <c r="C670" s="8">
        <v>600</v>
      </c>
      <c r="D670" s="8">
        <v>1200</v>
      </c>
      <c r="E670" s="2" t="s">
        <v>3939</v>
      </c>
      <c r="F670" s="8">
        <v>444.32</v>
      </c>
      <c r="G670" s="11">
        <f>(FCV)*444.32</f>
        <v>444.32</v>
      </c>
    </row>
    <row r="671" spans="1:7" x14ac:dyDescent="0.2">
      <c r="A671" s="8" t="s">
        <v>5190</v>
      </c>
      <c r="B671" s="8">
        <v>33</v>
      </c>
      <c r="C671" s="8">
        <v>600</v>
      </c>
      <c r="D671" s="8">
        <v>1200</v>
      </c>
      <c r="E671" s="2" t="s">
        <v>5191</v>
      </c>
      <c r="F671" s="8">
        <v>444.32</v>
      </c>
      <c r="G671" s="11">
        <f>(FCV)*444.32</f>
        <v>444.32</v>
      </c>
    </row>
    <row r="672" spans="1:7" x14ac:dyDescent="0.2">
      <c r="A672" s="8" t="s">
        <v>3940</v>
      </c>
      <c r="B672" s="8">
        <v>33</v>
      </c>
      <c r="C672" s="8">
        <v>600</v>
      </c>
      <c r="D672" s="8">
        <v>1400</v>
      </c>
      <c r="E672" s="2" t="s">
        <v>3941</v>
      </c>
      <c r="F672" s="8">
        <v>491.8</v>
      </c>
      <c r="G672" s="11">
        <f>(FCV)*491.8</f>
        <v>491.8</v>
      </c>
    </row>
    <row r="673" spans="1:7" x14ac:dyDescent="0.2">
      <c r="A673" s="8" t="s">
        <v>5192</v>
      </c>
      <c r="B673" s="8">
        <v>33</v>
      </c>
      <c r="C673" s="8">
        <v>600</v>
      </c>
      <c r="D673" s="8">
        <v>1400</v>
      </c>
      <c r="E673" s="2" t="s">
        <v>5193</v>
      </c>
      <c r="F673" s="8">
        <v>491.8</v>
      </c>
      <c r="G673" s="11">
        <f>(FCV)*491.8</f>
        <v>491.8</v>
      </c>
    </row>
    <row r="674" spans="1:7" x14ac:dyDescent="0.2">
      <c r="A674" s="8" t="s">
        <v>3942</v>
      </c>
      <c r="B674" s="8">
        <v>33</v>
      </c>
      <c r="C674" s="8">
        <v>600</v>
      </c>
      <c r="D674" s="8">
        <v>1600</v>
      </c>
      <c r="E674" s="2" t="s">
        <v>3943</v>
      </c>
      <c r="F674" s="8">
        <v>540.05999999999995</v>
      </c>
      <c r="G674" s="11">
        <f>(FCV)*540.06</f>
        <v>540.05999999999995</v>
      </c>
    </row>
    <row r="675" spans="1:7" x14ac:dyDescent="0.2">
      <c r="A675" s="8" t="s">
        <v>5194</v>
      </c>
      <c r="B675" s="8">
        <v>33</v>
      </c>
      <c r="C675" s="8">
        <v>600</v>
      </c>
      <c r="D675" s="8">
        <v>1600</v>
      </c>
      <c r="E675" s="2" t="s">
        <v>5195</v>
      </c>
      <c r="F675" s="8">
        <v>540.05999999999995</v>
      </c>
      <c r="G675" s="11">
        <f>(FCV)*540.06</f>
        <v>540.05999999999995</v>
      </c>
    </row>
    <row r="676" spans="1:7" x14ac:dyDescent="0.2">
      <c r="A676" s="8" t="s">
        <v>3944</v>
      </c>
      <c r="B676" s="8">
        <v>33</v>
      </c>
      <c r="C676" s="8">
        <v>600</v>
      </c>
      <c r="D676" s="8">
        <v>1800</v>
      </c>
      <c r="E676" s="2" t="s">
        <v>3945</v>
      </c>
      <c r="F676" s="8">
        <v>587.5</v>
      </c>
      <c r="G676" s="11">
        <f>(FCV)*587.5</f>
        <v>587.5</v>
      </c>
    </row>
    <row r="677" spans="1:7" x14ac:dyDescent="0.2">
      <c r="A677" s="8" t="s">
        <v>5196</v>
      </c>
      <c r="B677" s="8">
        <v>33</v>
      </c>
      <c r="C677" s="8">
        <v>600</v>
      </c>
      <c r="D677" s="8">
        <v>1800</v>
      </c>
      <c r="E677" s="2" t="s">
        <v>5197</v>
      </c>
      <c r="F677" s="8">
        <v>587.5</v>
      </c>
      <c r="G677" s="11">
        <f>(FCV)*587.5</f>
        <v>587.5</v>
      </c>
    </row>
    <row r="678" spans="1:7" x14ac:dyDescent="0.2">
      <c r="A678" s="8" t="s">
        <v>3946</v>
      </c>
      <c r="B678" s="8">
        <v>33</v>
      </c>
      <c r="C678" s="8">
        <v>600</v>
      </c>
      <c r="D678" s="8">
        <v>2000</v>
      </c>
      <c r="E678" s="2" t="s">
        <v>3947</v>
      </c>
      <c r="F678" s="8">
        <v>635.97</v>
      </c>
      <c r="G678" s="11">
        <f>(FCV)*635.97</f>
        <v>635.97</v>
      </c>
    </row>
    <row r="679" spans="1:7" x14ac:dyDescent="0.2">
      <c r="A679" s="8" t="s">
        <v>5198</v>
      </c>
      <c r="B679" s="8">
        <v>33</v>
      </c>
      <c r="C679" s="8">
        <v>600</v>
      </c>
      <c r="D679" s="8">
        <v>2000</v>
      </c>
      <c r="E679" s="2" t="s">
        <v>5199</v>
      </c>
      <c r="F679" s="8">
        <v>635.97</v>
      </c>
      <c r="G679" s="11">
        <f>(FCV)*635.97</f>
        <v>635.97</v>
      </c>
    </row>
    <row r="680" spans="1:7" x14ac:dyDescent="0.2">
      <c r="A680" s="8" t="s">
        <v>3948</v>
      </c>
      <c r="B680" s="8">
        <v>33</v>
      </c>
      <c r="C680" s="8">
        <v>600</v>
      </c>
      <c r="D680" s="8">
        <v>2300</v>
      </c>
      <c r="E680" s="2" t="s">
        <v>3949</v>
      </c>
      <c r="F680" s="8">
        <v>707.41</v>
      </c>
      <c r="G680" s="11">
        <f>(FCV)*707.41</f>
        <v>707.41</v>
      </c>
    </row>
    <row r="681" spans="1:7" x14ac:dyDescent="0.2">
      <c r="A681" s="8" t="s">
        <v>5200</v>
      </c>
      <c r="B681" s="8">
        <v>33</v>
      </c>
      <c r="C681" s="8">
        <v>600</v>
      </c>
      <c r="D681" s="8">
        <v>2300</v>
      </c>
      <c r="E681" s="2" t="s">
        <v>5201</v>
      </c>
      <c r="F681" s="8">
        <v>707.41</v>
      </c>
      <c r="G681" s="11">
        <f>(FCV)*707.41</f>
        <v>707.41</v>
      </c>
    </row>
    <row r="682" spans="1:7" x14ac:dyDescent="0.2">
      <c r="A682" s="8" t="s">
        <v>3950</v>
      </c>
      <c r="B682" s="8">
        <v>33</v>
      </c>
      <c r="C682" s="8">
        <v>600</v>
      </c>
      <c r="D682" s="8">
        <v>2600</v>
      </c>
      <c r="E682" s="2" t="s">
        <v>3951</v>
      </c>
      <c r="F682" s="8">
        <v>779.7</v>
      </c>
      <c r="G682" s="11">
        <f>(FCV)*779.7</f>
        <v>779.7</v>
      </c>
    </row>
    <row r="683" spans="1:7" x14ac:dyDescent="0.2">
      <c r="A683" s="8" t="s">
        <v>5202</v>
      </c>
      <c r="B683" s="8">
        <v>33</v>
      </c>
      <c r="C683" s="8">
        <v>600</v>
      </c>
      <c r="D683" s="8">
        <v>2600</v>
      </c>
      <c r="E683" s="2" t="s">
        <v>5203</v>
      </c>
      <c r="F683" s="8">
        <v>779.7</v>
      </c>
      <c r="G683" s="11">
        <f>(FCV)*779.7</f>
        <v>779.7</v>
      </c>
    </row>
    <row r="684" spans="1:7" x14ac:dyDescent="0.2">
      <c r="A684" s="8" t="s">
        <v>3952</v>
      </c>
      <c r="B684" s="8">
        <v>33</v>
      </c>
      <c r="C684" s="8">
        <v>600</v>
      </c>
      <c r="D684" s="8">
        <v>3000</v>
      </c>
      <c r="E684" s="2" t="s">
        <v>3953</v>
      </c>
      <c r="F684" s="8">
        <v>858.75</v>
      </c>
      <c r="G684" s="11">
        <f>(FCV)*858.75</f>
        <v>858.75</v>
      </c>
    </row>
    <row r="685" spans="1:7" x14ac:dyDescent="0.2">
      <c r="A685" s="8" t="s">
        <v>5204</v>
      </c>
      <c r="B685" s="8">
        <v>33</v>
      </c>
      <c r="C685" s="8">
        <v>600</v>
      </c>
      <c r="D685" s="8">
        <v>3000</v>
      </c>
      <c r="E685" s="2" t="s">
        <v>5205</v>
      </c>
      <c r="F685" s="8">
        <v>858.75</v>
      </c>
      <c r="G685" s="11">
        <f>(FCV)*858.75</f>
        <v>858.75</v>
      </c>
    </row>
    <row r="686" spans="1:7" x14ac:dyDescent="0.2">
      <c r="A686" s="8" t="s">
        <v>3954</v>
      </c>
      <c r="B686" s="8">
        <v>33</v>
      </c>
      <c r="C686" s="8">
        <v>900</v>
      </c>
      <c r="D686" s="8">
        <v>400</v>
      </c>
      <c r="E686" s="2" t="s">
        <v>3955</v>
      </c>
      <c r="F686" s="8">
        <v>278.95</v>
      </c>
      <c r="G686" s="11">
        <f>(FCV)*278.95</f>
        <v>278.95</v>
      </c>
    </row>
    <row r="687" spans="1:7" x14ac:dyDescent="0.2">
      <c r="A687" s="8" t="s">
        <v>5206</v>
      </c>
      <c r="B687" s="8">
        <v>33</v>
      </c>
      <c r="C687" s="8">
        <v>900</v>
      </c>
      <c r="D687" s="8">
        <v>400</v>
      </c>
      <c r="E687" s="2" t="s">
        <v>5207</v>
      </c>
      <c r="F687" s="8">
        <v>278.95</v>
      </c>
      <c r="G687" s="11">
        <f>(FCV)*278.95</f>
        <v>278.95</v>
      </c>
    </row>
    <row r="688" spans="1:7" x14ac:dyDescent="0.2">
      <c r="A688" s="8" t="s">
        <v>3956</v>
      </c>
      <c r="B688" s="8">
        <v>33</v>
      </c>
      <c r="C688" s="8">
        <v>900</v>
      </c>
      <c r="D688" s="8">
        <v>500</v>
      </c>
      <c r="E688" s="2" t="s">
        <v>3957</v>
      </c>
      <c r="F688" s="8">
        <v>310.08999999999997</v>
      </c>
      <c r="G688" s="11">
        <f>(FCV)*310.09</f>
        <v>310.08999999999997</v>
      </c>
    </row>
    <row r="689" spans="1:7" x14ac:dyDescent="0.2">
      <c r="A689" s="8" t="s">
        <v>5208</v>
      </c>
      <c r="B689" s="8">
        <v>33</v>
      </c>
      <c r="C689" s="8">
        <v>900</v>
      </c>
      <c r="D689" s="8">
        <v>500</v>
      </c>
      <c r="E689" s="2" t="s">
        <v>5209</v>
      </c>
      <c r="F689" s="8">
        <v>310.08999999999997</v>
      </c>
      <c r="G689" s="11">
        <f>(FCV)*310.09</f>
        <v>310.08999999999997</v>
      </c>
    </row>
    <row r="690" spans="1:7" x14ac:dyDescent="0.2">
      <c r="A690" s="8" t="s">
        <v>3958</v>
      </c>
      <c r="B690" s="8">
        <v>33</v>
      </c>
      <c r="C690" s="8">
        <v>900</v>
      </c>
      <c r="D690" s="8">
        <v>600</v>
      </c>
      <c r="E690" s="2" t="s">
        <v>3959</v>
      </c>
      <c r="F690" s="8">
        <v>345.09</v>
      </c>
      <c r="G690" s="11">
        <f>(FCV)*345.09</f>
        <v>345.09</v>
      </c>
    </row>
    <row r="691" spans="1:7" x14ac:dyDescent="0.2">
      <c r="A691" s="8" t="s">
        <v>5210</v>
      </c>
      <c r="B691" s="8">
        <v>33</v>
      </c>
      <c r="C691" s="8">
        <v>900</v>
      </c>
      <c r="D691" s="8">
        <v>600</v>
      </c>
      <c r="E691" s="2" t="s">
        <v>5211</v>
      </c>
      <c r="F691" s="8">
        <v>345.09</v>
      </c>
      <c r="G691" s="11">
        <f>(FCV)*345.09</f>
        <v>345.09</v>
      </c>
    </row>
    <row r="692" spans="1:7" x14ac:dyDescent="0.2">
      <c r="A692" s="8" t="s">
        <v>3960</v>
      </c>
      <c r="B692" s="8">
        <v>33</v>
      </c>
      <c r="C692" s="8">
        <v>900</v>
      </c>
      <c r="D692" s="8">
        <v>700</v>
      </c>
      <c r="E692" s="2" t="s">
        <v>3961</v>
      </c>
      <c r="F692" s="8">
        <v>385.04</v>
      </c>
      <c r="G692" s="11">
        <f>(FCV)*385.04</f>
        <v>385.04</v>
      </c>
    </row>
    <row r="693" spans="1:7" x14ac:dyDescent="0.2">
      <c r="A693" s="8" t="s">
        <v>5212</v>
      </c>
      <c r="B693" s="8">
        <v>33</v>
      </c>
      <c r="C693" s="8">
        <v>900</v>
      </c>
      <c r="D693" s="8">
        <v>700</v>
      </c>
      <c r="E693" s="2" t="s">
        <v>5213</v>
      </c>
      <c r="F693" s="8">
        <v>385.04</v>
      </c>
      <c r="G693" s="11">
        <f>(FCV)*385.04</f>
        <v>385.04</v>
      </c>
    </row>
    <row r="694" spans="1:7" x14ac:dyDescent="0.2">
      <c r="A694" s="8" t="s">
        <v>3962</v>
      </c>
      <c r="B694" s="8">
        <v>33</v>
      </c>
      <c r="C694" s="8">
        <v>900</v>
      </c>
      <c r="D694" s="8">
        <v>800</v>
      </c>
      <c r="E694" s="2" t="s">
        <v>3963</v>
      </c>
      <c r="F694" s="8">
        <v>429.75</v>
      </c>
      <c r="G694" s="11">
        <f>(FCV)*429.75</f>
        <v>429.75</v>
      </c>
    </row>
    <row r="695" spans="1:7" x14ac:dyDescent="0.2">
      <c r="A695" s="8" t="s">
        <v>5214</v>
      </c>
      <c r="B695" s="8">
        <v>33</v>
      </c>
      <c r="C695" s="8">
        <v>900</v>
      </c>
      <c r="D695" s="8">
        <v>800</v>
      </c>
      <c r="E695" s="2" t="s">
        <v>5215</v>
      </c>
      <c r="F695" s="8">
        <v>429.75</v>
      </c>
      <c r="G695" s="11">
        <f>(FCV)*429.75</f>
        <v>429.75</v>
      </c>
    </row>
    <row r="696" spans="1:7" x14ac:dyDescent="0.2">
      <c r="A696" s="8" t="s">
        <v>3964</v>
      </c>
      <c r="B696" s="8">
        <v>33</v>
      </c>
      <c r="C696" s="8">
        <v>900</v>
      </c>
      <c r="D696" s="8">
        <v>900</v>
      </c>
      <c r="E696" s="2" t="s">
        <v>3965</v>
      </c>
      <c r="F696" s="8">
        <v>456.36</v>
      </c>
      <c r="G696" s="11">
        <f>(FCV)*456.36</f>
        <v>456.36</v>
      </c>
    </row>
    <row r="697" spans="1:7" x14ac:dyDescent="0.2">
      <c r="A697" s="8" t="s">
        <v>5216</v>
      </c>
      <c r="B697" s="8">
        <v>33</v>
      </c>
      <c r="C697" s="8">
        <v>900</v>
      </c>
      <c r="D697" s="8">
        <v>900</v>
      </c>
      <c r="E697" s="2" t="s">
        <v>5217</v>
      </c>
      <c r="F697" s="8">
        <v>456.36</v>
      </c>
      <c r="G697" s="11">
        <f>(FCV)*456.36</f>
        <v>456.36</v>
      </c>
    </row>
    <row r="698" spans="1:7" x14ac:dyDescent="0.2">
      <c r="A698" s="8" t="s">
        <v>3966</v>
      </c>
      <c r="B698" s="8">
        <v>33</v>
      </c>
      <c r="C698" s="8">
        <v>900</v>
      </c>
      <c r="D698" s="8">
        <v>1000</v>
      </c>
      <c r="E698" s="2" t="s">
        <v>3967</v>
      </c>
      <c r="F698" s="8">
        <v>485.84</v>
      </c>
      <c r="G698" s="11">
        <f>(FCV)*485.84</f>
        <v>485.84</v>
      </c>
    </row>
    <row r="699" spans="1:7" x14ac:dyDescent="0.2">
      <c r="A699" s="8" t="s">
        <v>5218</v>
      </c>
      <c r="B699" s="8">
        <v>33</v>
      </c>
      <c r="C699" s="8">
        <v>900</v>
      </c>
      <c r="D699" s="8">
        <v>1000</v>
      </c>
      <c r="E699" s="2" t="s">
        <v>5219</v>
      </c>
      <c r="F699" s="8">
        <v>485.84</v>
      </c>
      <c r="G699" s="11">
        <f>(FCV)*485.84</f>
        <v>485.84</v>
      </c>
    </row>
    <row r="700" spans="1:7" x14ac:dyDescent="0.2">
      <c r="A700" s="8" t="s">
        <v>3968</v>
      </c>
      <c r="B700" s="8">
        <v>33</v>
      </c>
      <c r="C700" s="8">
        <v>900</v>
      </c>
      <c r="D700" s="8">
        <v>1100</v>
      </c>
      <c r="E700" s="2" t="s">
        <v>3969</v>
      </c>
      <c r="F700" s="8">
        <v>517.08000000000004</v>
      </c>
      <c r="G700" s="11">
        <f>(FCV)*517.08</f>
        <v>517.08000000000004</v>
      </c>
    </row>
    <row r="701" spans="1:7" x14ac:dyDescent="0.2">
      <c r="A701" s="8" t="s">
        <v>5220</v>
      </c>
      <c r="B701" s="8">
        <v>33</v>
      </c>
      <c r="C701" s="8">
        <v>900</v>
      </c>
      <c r="D701" s="8">
        <v>1100</v>
      </c>
      <c r="E701" s="2" t="s">
        <v>5221</v>
      </c>
      <c r="F701" s="8">
        <v>517.08000000000004</v>
      </c>
      <c r="G701" s="11">
        <f>(FCV)*517.08</f>
        <v>517.08000000000004</v>
      </c>
    </row>
    <row r="702" spans="1:7" x14ac:dyDescent="0.2">
      <c r="A702" s="8" t="s">
        <v>3970</v>
      </c>
      <c r="B702" s="8">
        <v>33</v>
      </c>
      <c r="C702" s="8">
        <v>900</v>
      </c>
      <c r="D702" s="8">
        <v>1200</v>
      </c>
      <c r="E702" s="2" t="s">
        <v>3971</v>
      </c>
      <c r="F702" s="8">
        <v>550.41999999999996</v>
      </c>
      <c r="G702" s="11">
        <f>(FCV)*550.42</f>
        <v>550.41999999999996</v>
      </c>
    </row>
    <row r="703" spans="1:7" x14ac:dyDescent="0.2">
      <c r="A703" s="8" t="s">
        <v>5222</v>
      </c>
      <c r="B703" s="8">
        <v>33</v>
      </c>
      <c r="C703" s="8">
        <v>900</v>
      </c>
      <c r="D703" s="8">
        <v>1200</v>
      </c>
      <c r="E703" s="2" t="s">
        <v>5223</v>
      </c>
      <c r="F703" s="8">
        <v>550.41999999999996</v>
      </c>
      <c r="G703" s="11">
        <f>(FCV)*550.42</f>
        <v>550.41999999999996</v>
      </c>
    </row>
    <row r="704" spans="1:7" x14ac:dyDescent="0.2">
      <c r="A704" s="8" t="s">
        <v>3972</v>
      </c>
      <c r="B704" s="8">
        <v>33</v>
      </c>
      <c r="C704" s="8">
        <v>900</v>
      </c>
      <c r="D704" s="8">
        <v>1400</v>
      </c>
      <c r="E704" s="2" t="s">
        <v>3973</v>
      </c>
      <c r="F704" s="8">
        <v>609.03</v>
      </c>
      <c r="G704" s="11">
        <f>(FCV)*609.03</f>
        <v>609.03</v>
      </c>
    </row>
    <row r="705" spans="1:7" x14ac:dyDescent="0.2">
      <c r="A705" s="8" t="s">
        <v>5224</v>
      </c>
      <c r="B705" s="8">
        <v>33</v>
      </c>
      <c r="C705" s="8">
        <v>900</v>
      </c>
      <c r="D705" s="8">
        <v>1400</v>
      </c>
      <c r="E705" s="2" t="s">
        <v>5225</v>
      </c>
      <c r="F705" s="8">
        <v>609.03</v>
      </c>
      <c r="G705" s="11">
        <f>(FCV)*609.03</f>
        <v>609.03</v>
      </c>
    </row>
    <row r="706" spans="1:7" x14ac:dyDescent="0.2">
      <c r="A706" s="8" t="s">
        <v>3974</v>
      </c>
      <c r="B706" s="8">
        <v>33</v>
      </c>
      <c r="C706" s="8">
        <v>900</v>
      </c>
      <c r="D706" s="8">
        <v>1600</v>
      </c>
      <c r="E706" s="2" t="s">
        <v>3975</v>
      </c>
      <c r="F706" s="8">
        <v>665.89</v>
      </c>
      <c r="G706" s="11">
        <f>(FCV)*665.89</f>
        <v>665.89</v>
      </c>
    </row>
    <row r="707" spans="1:7" x14ac:dyDescent="0.2">
      <c r="A707" s="8" t="s">
        <v>5226</v>
      </c>
      <c r="B707" s="8">
        <v>33</v>
      </c>
      <c r="C707" s="8">
        <v>900</v>
      </c>
      <c r="D707" s="8">
        <v>1600</v>
      </c>
      <c r="E707" s="2" t="s">
        <v>5227</v>
      </c>
      <c r="F707" s="8">
        <v>665.89</v>
      </c>
      <c r="G707" s="11">
        <f>(FCV)*665.89</f>
        <v>665.89</v>
      </c>
    </row>
    <row r="708" spans="1:7" x14ac:dyDescent="0.2">
      <c r="A708" s="8" t="s">
        <v>3976</v>
      </c>
      <c r="B708" s="8">
        <v>33</v>
      </c>
      <c r="C708" s="8">
        <v>900</v>
      </c>
      <c r="D708" s="8">
        <v>1800</v>
      </c>
      <c r="E708" s="2" t="s">
        <v>3977</v>
      </c>
      <c r="F708" s="8">
        <v>728.14</v>
      </c>
      <c r="G708" s="11">
        <f>(FCV)*728.14</f>
        <v>728.14</v>
      </c>
    </row>
    <row r="709" spans="1:7" x14ac:dyDescent="0.2">
      <c r="A709" s="8" t="s">
        <v>5228</v>
      </c>
      <c r="B709" s="8">
        <v>33</v>
      </c>
      <c r="C709" s="8">
        <v>900</v>
      </c>
      <c r="D709" s="8">
        <v>1800</v>
      </c>
      <c r="E709" s="2" t="s">
        <v>5229</v>
      </c>
      <c r="F709" s="8">
        <v>728.14</v>
      </c>
      <c r="G709" s="11">
        <f>(FCV)*728.14</f>
        <v>728.14</v>
      </c>
    </row>
    <row r="710" spans="1:7" x14ac:dyDescent="0.2">
      <c r="A710" s="8" t="s">
        <v>3978</v>
      </c>
      <c r="B710" s="8">
        <v>33</v>
      </c>
      <c r="C710" s="8">
        <v>900</v>
      </c>
      <c r="D710" s="8">
        <v>2000</v>
      </c>
      <c r="E710" s="2" t="s">
        <v>3979</v>
      </c>
      <c r="F710" s="8">
        <v>783.46</v>
      </c>
      <c r="G710" s="11">
        <f>(FCV)*783.46</f>
        <v>783.46</v>
      </c>
    </row>
    <row r="711" spans="1:7" x14ac:dyDescent="0.2">
      <c r="A711" s="8" t="s">
        <v>5230</v>
      </c>
      <c r="B711" s="8">
        <v>33</v>
      </c>
      <c r="C711" s="8">
        <v>900</v>
      </c>
      <c r="D711" s="8">
        <v>2000</v>
      </c>
      <c r="E711" s="2" t="s">
        <v>5231</v>
      </c>
      <c r="F711" s="8">
        <v>783.46</v>
      </c>
      <c r="G711" s="11">
        <f>(FCV)*783.46</f>
        <v>783.46</v>
      </c>
    </row>
    <row r="712" spans="1:7" x14ac:dyDescent="0.2">
      <c r="A712" s="8" t="s">
        <v>3980</v>
      </c>
      <c r="B712" s="8">
        <v>44</v>
      </c>
      <c r="C712" s="8">
        <v>200</v>
      </c>
      <c r="D712" s="8">
        <v>600</v>
      </c>
      <c r="E712" s="2" t="s">
        <v>3981</v>
      </c>
      <c r="F712" s="8">
        <v>235.96</v>
      </c>
      <c r="G712" s="11">
        <f>(FCV)*235.96</f>
        <v>235.96</v>
      </c>
    </row>
    <row r="713" spans="1:7" x14ac:dyDescent="0.2">
      <c r="A713" s="8" t="s">
        <v>5232</v>
      </c>
      <c r="B713" s="8">
        <v>44</v>
      </c>
      <c r="C713" s="8">
        <v>200</v>
      </c>
      <c r="D713" s="8">
        <v>600</v>
      </c>
      <c r="E713" s="2" t="s">
        <v>5233</v>
      </c>
      <c r="F713" s="8">
        <v>235.96</v>
      </c>
      <c r="G713" s="11">
        <f>(FCV)*235.96</f>
        <v>235.96</v>
      </c>
    </row>
    <row r="714" spans="1:7" x14ac:dyDescent="0.2">
      <c r="A714" s="8" t="s">
        <v>3982</v>
      </c>
      <c r="B714" s="8">
        <v>44</v>
      </c>
      <c r="C714" s="8">
        <v>200</v>
      </c>
      <c r="D714" s="8">
        <v>700</v>
      </c>
      <c r="E714" s="2" t="s">
        <v>3983</v>
      </c>
      <c r="F714" s="8">
        <v>253.03</v>
      </c>
      <c r="G714" s="11">
        <f>(FCV)*253.03</f>
        <v>253.03</v>
      </c>
    </row>
    <row r="715" spans="1:7" x14ac:dyDescent="0.2">
      <c r="A715" s="8" t="s">
        <v>5234</v>
      </c>
      <c r="B715" s="8">
        <v>44</v>
      </c>
      <c r="C715" s="8">
        <v>200</v>
      </c>
      <c r="D715" s="8">
        <v>700</v>
      </c>
      <c r="E715" s="2" t="s">
        <v>5235</v>
      </c>
      <c r="F715" s="8">
        <v>253.03</v>
      </c>
      <c r="G715" s="11">
        <f>(FCV)*253.03</f>
        <v>253.03</v>
      </c>
    </row>
    <row r="716" spans="1:7" x14ac:dyDescent="0.2">
      <c r="A716" s="8" t="s">
        <v>3984</v>
      </c>
      <c r="B716" s="8">
        <v>44</v>
      </c>
      <c r="C716" s="8">
        <v>200</v>
      </c>
      <c r="D716" s="8">
        <v>800</v>
      </c>
      <c r="E716" s="2" t="s">
        <v>3985</v>
      </c>
      <c r="F716" s="8">
        <v>271.19</v>
      </c>
      <c r="G716" s="11">
        <f>(FCV)*271.19</f>
        <v>271.19</v>
      </c>
    </row>
    <row r="717" spans="1:7" x14ac:dyDescent="0.2">
      <c r="A717" s="8" t="s">
        <v>5236</v>
      </c>
      <c r="B717" s="8">
        <v>44</v>
      </c>
      <c r="C717" s="8">
        <v>200</v>
      </c>
      <c r="D717" s="8">
        <v>800</v>
      </c>
      <c r="E717" s="2" t="s">
        <v>5237</v>
      </c>
      <c r="F717" s="8">
        <v>271.19</v>
      </c>
      <c r="G717" s="11">
        <f>(FCV)*271.19</f>
        <v>271.19</v>
      </c>
    </row>
    <row r="718" spans="1:7" x14ac:dyDescent="0.2">
      <c r="A718" s="8" t="s">
        <v>3986</v>
      </c>
      <c r="B718" s="8">
        <v>44</v>
      </c>
      <c r="C718" s="8">
        <v>200</v>
      </c>
      <c r="D718" s="8">
        <v>900</v>
      </c>
      <c r="E718" s="2" t="s">
        <v>3987</v>
      </c>
      <c r="F718" s="8">
        <v>288.16000000000003</v>
      </c>
      <c r="G718" s="11">
        <f>(FCV)*288.16</f>
        <v>288.16000000000003</v>
      </c>
    </row>
    <row r="719" spans="1:7" x14ac:dyDescent="0.2">
      <c r="A719" s="8" t="s">
        <v>5238</v>
      </c>
      <c r="B719" s="8">
        <v>44</v>
      </c>
      <c r="C719" s="8">
        <v>200</v>
      </c>
      <c r="D719" s="8">
        <v>900</v>
      </c>
      <c r="E719" s="2" t="s">
        <v>5239</v>
      </c>
      <c r="F719" s="8">
        <v>288.16000000000003</v>
      </c>
      <c r="G719" s="11">
        <f>(FCV)*288.16</f>
        <v>288.16000000000003</v>
      </c>
    </row>
    <row r="720" spans="1:7" x14ac:dyDescent="0.2">
      <c r="A720" s="8" t="s">
        <v>3988</v>
      </c>
      <c r="B720" s="8">
        <v>44</v>
      </c>
      <c r="C720" s="8">
        <v>200</v>
      </c>
      <c r="D720" s="8">
        <v>1000</v>
      </c>
      <c r="E720" s="2" t="s">
        <v>3989</v>
      </c>
      <c r="F720" s="8">
        <v>305.93</v>
      </c>
      <c r="G720" s="11">
        <f>(FCV)*305.93</f>
        <v>305.93</v>
      </c>
    </row>
    <row r="721" spans="1:7" x14ac:dyDescent="0.2">
      <c r="A721" s="8" t="s">
        <v>5240</v>
      </c>
      <c r="B721" s="8">
        <v>44</v>
      </c>
      <c r="C721" s="8">
        <v>200</v>
      </c>
      <c r="D721" s="8">
        <v>1000</v>
      </c>
      <c r="E721" s="2" t="s">
        <v>5241</v>
      </c>
      <c r="F721" s="8">
        <v>305.93</v>
      </c>
      <c r="G721" s="11">
        <f>(FCV)*305.93</f>
        <v>305.93</v>
      </c>
    </row>
    <row r="722" spans="1:7" x14ac:dyDescent="0.2">
      <c r="A722" s="8" t="s">
        <v>3990</v>
      </c>
      <c r="B722" s="8">
        <v>44</v>
      </c>
      <c r="C722" s="8">
        <v>200</v>
      </c>
      <c r="D722" s="8">
        <v>1100</v>
      </c>
      <c r="E722" s="2" t="s">
        <v>3991</v>
      </c>
      <c r="F722" s="8">
        <v>323.2</v>
      </c>
      <c r="G722" s="11">
        <f>(FCV)*323.2</f>
        <v>323.2</v>
      </c>
    </row>
    <row r="723" spans="1:7" x14ac:dyDescent="0.2">
      <c r="A723" s="8" t="s">
        <v>5242</v>
      </c>
      <c r="B723" s="8">
        <v>44</v>
      </c>
      <c r="C723" s="8">
        <v>200</v>
      </c>
      <c r="D723" s="8">
        <v>1100</v>
      </c>
      <c r="E723" s="2" t="s">
        <v>5243</v>
      </c>
      <c r="F723" s="8">
        <v>323.2</v>
      </c>
      <c r="G723" s="11">
        <f>(FCV)*323.2</f>
        <v>323.2</v>
      </c>
    </row>
    <row r="724" spans="1:7" x14ac:dyDescent="0.2">
      <c r="A724" s="8" t="s">
        <v>3992</v>
      </c>
      <c r="B724" s="8">
        <v>44</v>
      </c>
      <c r="C724" s="8">
        <v>200</v>
      </c>
      <c r="D724" s="8">
        <v>1200</v>
      </c>
      <c r="E724" s="2" t="s">
        <v>3993</v>
      </c>
      <c r="F724" s="8">
        <v>339.58</v>
      </c>
      <c r="G724" s="11">
        <f>(FCV)*339.58</f>
        <v>339.58</v>
      </c>
    </row>
    <row r="725" spans="1:7" x14ac:dyDescent="0.2">
      <c r="A725" s="8" t="s">
        <v>5244</v>
      </c>
      <c r="B725" s="8">
        <v>44</v>
      </c>
      <c r="C725" s="8">
        <v>200</v>
      </c>
      <c r="D725" s="8">
        <v>1200</v>
      </c>
      <c r="E725" s="2" t="s">
        <v>5245</v>
      </c>
      <c r="F725" s="8">
        <v>339.58</v>
      </c>
      <c r="G725" s="11">
        <f>(FCV)*339.58</f>
        <v>339.58</v>
      </c>
    </row>
    <row r="726" spans="1:7" x14ac:dyDescent="0.2">
      <c r="A726" s="8" t="s">
        <v>3994</v>
      </c>
      <c r="B726" s="8">
        <v>44</v>
      </c>
      <c r="C726" s="8">
        <v>200</v>
      </c>
      <c r="D726" s="8">
        <v>1400</v>
      </c>
      <c r="E726" s="2" t="s">
        <v>3995</v>
      </c>
      <c r="F726" s="8">
        <v>374.3</v>
      </c>
      <c r="G726" s="11">
        <f>(FCV)*374.3</f>
        <v>374.3</v>
      </c>
    </row>
    <row r="727" spans="1:7" x14ac:dyDescent="0.2">
      <c r="A727" s="8" t="s">
        <v>5246</v>
      </c>
      <c r="B727" s="8">
        <v>44</v>
      </c>
      <c r="C727" s="8">
        <v>200</v>
      </c>
      <c r="D727" s="8">
        <v>1400</v>
      </c>
      <c r="E727" s="2" t="s">
        <v>5247</v>
      </c>
      <c r="F727" s="8">
        <v>374.3</v>
      </c>
      <c r="G727" s="11">
        <f>(FCV)*374.3</f>
        <v>374.3</v>
      </c>
    </row>
    <row r="728" spans="1:7" x14ac:dyDescent="0.2">
      <c r="A728" s="8" t="s">
        <v>3996</v>
      </c>
      <c r="B728" s="8">
        <v>44</v>
      </c>
      <c r="C728" s="8">
        <v>200</v>
      </c>
      <c r="D728" s="8">
        <v>1600</v>
      </c>
      <c r="E728" s="2" t="s">
        <v>3997</v>
      </c>
      <c r="F728" s="8">
        <v>408.94</v>
      </c>
      <c r="G728" s="11">
        <f>(FCV)*408.94</f>
        <v>408.94</v>
      </c>
    </row>
    <row r="729" spans="1:7" x14ac:dyDescent="0.2">
      <c r="A729" s="8" t="s">
        <v>5248</v>
      </c>
      <c r="B729" s="8">
        <v>44</v>
      </c>
      <c r="C729" s="8">
        <v>200</v>
      </c>
      <c r="D729" s="8">
        <v>1600</v>
      </c>
      <c r="E729" s="2" t="s">
        <v>5249</v>
      </c>
      <c r="F729" s="8">
        <v>408.94</v>
      </c>
      <c r="G729" s="11">
        <f>(FCV)*408.94</f>
        <v>408.94</v>
      </c>
    </row>
    <row r="730" spans="1:7" x14ac:dyDescent="0.2">
      <c r="A730" s="8" t="s">
        <v>3998</v>
      </c>
      <c r="B730" s="8">
        <v>44</v>
      </c>
      <c r="C730" s="8">
        <v>200</v>
      </c>
      <c r="D730" s="8">
        <v>1800</v>
      </c>
      <c r="E730" s="2" t="s">
        <v>3999</v>
      </c>
      <c r="F730" s="8">
        <v>444.29</v>
      </c>
      <c r="G730" s="11">
        <f>(FCV)*444.29</f>
        <v>444.29</v>
      </c>
    </row>
    <row r="731" spans="1:7" x14ac:dyDescent="0.2">
      <c r="A731" s="8" t="s">
        <v>5250</v>
      </c>
      <c r="B731" s="8">
        <v>44</v>
      </c>
      <c r="C731" s="8">
        <v>200</v>
      </c>
      <c r="D731" s="8">
        <v>1800</v>
      </c>
      <c r="E731" s="2" t="s">
        <v>5251</v>
      </c>
      <c r="F731" s="8">
        <v>444.29</v>
      </c>
      <c r="G731" s="11">
        <f>(FCV)*444.29</f>
        <v>444.29</v>
      </c>
    </row>
    <row r="732" spans="1:7" x14ac:dyDescent="0.2">
      <c r="A732" s="8" t="s">
        <v>4000</v>
      </c>
      <c r="B732" s="8">
        <v>44</v>
      </c>
      <c r="C732" s="8">
        <v>200</v>
      </c>
      <c r="D732" s="8">
        <v>2000</v>
      </c>
      <c r="E732" s="2" t="s">
        <v>4001</v>
      </c>
      <c r="F732" s="8">
        <v>478.73</v>
      </c>
      <c r="G732" s="11">
        <f>(FCV)*478.73</f>
        <v>478.73</v>
      </c>
    </row>
    <row r="733" spans="1:7" x14ac:dyDescent="0.2">
      <c r="A733" s="8" t="s">
        <v>5252</v>
      </c>
      <c r="B733" s="8">
        <v>44</v>
      </c>
      <c r="C733" s="8">
        <v>200</v>
      </c>
      <c r="D733" s="8">
        <v>2000</v>
      </c>
      <c r="E733" s="2" t="s">
        <v>5253</v>
      </c>
      <c r="F733" s="8">
        <v>478.73</v>
      </c>
      <c r="G733" s="11">
        <f>(FCV)*478.73</f>
        <v>478.73</v>
      </c>
    </row>
    <row r="734" spans="1:7" x14ac:dyDescent="0.2">
      <c r="A734" s="8" t="s">
        <v>4002</v>
      </c>
      <c r="B734" s="8">
        <v>44</v>
      </c>
      <c r="C734" s="8">
        <v>200</v>
      </c>
      <c r="D734" s="8">
        <v>2300</v>
      </c>
      <c r="E734" s="2" t="s">
        <v>4003</v>
      </c>
      <c r="F734" s="8">
        <v>530.92999999999995</v>
      </c>
      <c r="G734" s="11">
        <f>(FCV)*530.93</f>
        <v>530.92999999999995</v>
      </c>
    </row>
    <row r="735" spans="1:7" x14ac:dyDescent="0.2">
      <c r="A735" s="8" t="s">
        <v>5254</v>
      </c>
      <c r="B735" s="8">
        <v>44</v>
      </c>
      <c r="C735" s="8">
        <v>200</v>
      </c>
      <c r="D735" s="8">
        <v>2300</v>
      </c>
      <c r="E735" s="2" t="s">
        <v>5255</v>
      </c>
      <c r="F735" s="8">
        <v>530.92999999999995</v>
      </c>
      <c r="G735" s="11">
        <f>(FCV)*530.93</f>
        <v>530.92999999999995</v>
      </c>
    </row>
    <row r="736" spans="1:7" x14ac:dyDescent="0.2">
      <c r="A736" s="8" t="s">
        <v>4004</v>
      </c>
      <c r="B736" s="8">
        <v>44</v>
      </c>
      <c r="C736" s="8">
        <v>200</v>
      </c>
      <c r="D736" s="8">
        <v>2600</v>
      </c>
      <c r="E736" s="2" t="s">
        <v>4005</v>
      </c>
      <c r="F736" s="8">
        <v>582.65</v>
      </c>
      <c r="G736" s="11">
        <f>(FCV)*582.65</f>
        <v>582.65</v>
      </c>
    </row>
    <row r="737" spans="1:7" x14ac:dyDescent="0.2">
      <c r="A737" s="8" t="s">
        <v>5256</v>
      </c>
      <c r="B737" s="8">
        <v>44</v>
      </c>
      <c r="C737" s="8">
        <v>200</v>
      </c>
      <c r="D737" s="8">
        <v>2600</v>
      </c>
      <c r="E737" s="2" t="s">
        <v>5257</v>
      </c>
      <c r="F737" s="8">
        <v>582.65</v>
      </c>
      <c r="G737" s="11">
        <f>(FCV)*582.65</f>
        <v>582.65</v>
      </c>
    </row>
    <row r="738" spans="1:7" x14ac:dyDescent="0.2">
      <c r="A738" s="8" t="s">
        <v>4006</v>
      </c>
      <c r="B738" s="8">
        <v>44</v>
      </c>
      <c r="C738" s="8">
        <v>200</v>
      </c>
      <c r="D738" s="8">
        <v>3000</v>
      </c>
      <c r="E738" s="2" t="s">
        <v>4007</v>
      </c>
      <c r="F738" s="8">
        <v>652.02</v>
      </c>
      <c r="G738" s="11">
        <f>(FCV)*652.02</f>
        <v>652.02</v>
      </c>
    </row>
    <row r="739" spans="1:7" x14ac:dyDescent="0.2">
      <c r="A739" s="8" t="s">
        <v>5258</v>
      </c>
      <c r="B739" s="8">
        <v>44</v>
      </c>
      <c r="C739" s="8">
        <v>200</v>
      </c>
      <c r="D739" s="8">
        <v>3000</v>
      </c>
      <c r="E739" s="2" t="s">
        <v>5259</v>
      </c>
      <c r="F739" s="8">
        <v>652.02</v>
      </c>
      <c r="G739" s="11">
        <f>(FCV)*652.02</f>
        <v>652.02</v>
      </c>
    </row>
    <row r="740" spans="1:7" x14ac:dyDescent="0.2">
      <c r="A740" s="8" t="s">
        <v>4008</v>
      </c>
      <c r="B740" s="8">
        <v>21</v>
      </c>
      <c r="C740" s="8">
        <v>200</v>
      </c>
      <c r="D740" s="8">
        <v>600</v>
      </c>
      <c r="E740" s="2" t="s">
        <v>4009</v>
      </c>
      <c r="F740" s="8">
        <v>155.04</v>
      </c>
      <c r="G740" s="11">
        <f>(FCV)*155.04</f>
        <v>155.04</v>
      </c>
    </row>
    <row r="741" spans="1:7" x14ac:dyDescent="0.2">
      <c r="A741" s="8" t="s">
        <v>4010</v>
      </c>
      <c r="B741" s="8">
        <v>21</v>
      </c>
      <c r="C741" s="8">
        <v>200</v>
      </c>
      <c r="D741" s="8">
        <v>700</v>
      </c>
      <c r="E741" s="2" t="s">
        <v>4011</v>
      </c>
      <c r="F741" s="8">
        <v>166.51</v>
      </c>
      <c r="G741" s="11">
        <f>(FCV)*166.51</f>
        <v>166.51</v>
      </c>
    </row>
    <row r="742" spans="1:7" x14ac:dyDescent="0.2">
      <c r="A742" s="8" t="s">
        <v>4012</v>
      </c>
      <c r="B742" s="8">
        <v>21</v>
      </c>
      <c r="C742" s="8">
        <v>200</v>
      </c>
      <c r="D742" s="8">
        <v>800</v>
      </c>
      <c r="E742" s="2" t="s">
        <v>4013</v>
      </c>
      <c r="F742" s="8">
        <v>178.37</v>
      </c>
      <c r="G742" s="11">
        <f>(FCV)*178.37</f>
        <v>178.37</v>
      </c>
    </row>
    <row r="743" spans="1:7" x14ac:dyDescent="0.2">
      <c r="A743" s="8" t="s">
        <v>4014</v>
      </c>
      <c r="B743" s="8">
        <v>21</v>
      </c>
      <c r="C743" s="8">
        <v>200</v>
      </c>
      <c r="D743" s="8">
        <v>900</v>
      </c>
      <c r="E743" s="2" t="s">
        <v>4015</v>
      </c>
      <c r="F743" s="8">
        <v>189.22</v>
      </c>
      <c r="G743" s="11">
        <f>(FCV)*189.22</f>
        <v>189.22</v>
      </c>
    </row>
    <row r="744" spans="1:7" x14ac:dyDescent="0.2">
      <c r="A744" s="8" t="s">
        <v>4016</v>
      </c>
      <c r="B744" s="8">
        <v>21</v>
      </c>
      <c r="C744" s="8">
        <v>200</v>
      </c>
      <c r="D744" s="8">
        <v>1000</v>
      </c>
      <c r="E744" s="2" t="s">
        <v>4017</v>
      </c>
      <c r="F744" s="8">
        <v>200.05</v>
      </c>
      <c r="G744" s="11">
        <f>(FCV)*200.05</f>
        <v>200.05</v>
      </c>
    </row>
    <row r="745" spans="1:7" x14ac:dyDescent="0.2">
      <c r="A745" s="8" t="s">
        <v>4018</v>
      </c>
      <c r="B745" s="8">
        <v>21</v>
      </c>
      <c r="C745" s="8">
        <v>200</v>
      </c>
      <c r="D745" s="8">
        <v>1100</v>
      </c>
      <c r="E745" s="2" t="s">
        <v>4019</v>
      </c>
      <c r="F745" s="8">
        <v>210.93</v>
      </c>
      <c r="G745" s="11">
        <f>(FCV)*210.93</f>
        <v>210.93</v>
      </c>
    </row>
    <row r="746" spans="1:7" x14ac:dyDescent="0.2">
      <c r="A746" s="8" t="s">
        <v>4020</v>
      </c>
      <c r="B746" s="8">
        <v>21</v>
      </c>
      <c r="C746" s="8">
        <v>200</v>
      </c>
      <c r="D746" s="8">
        <v>1200</v>
      </c>
      <c r="E746" s="2" t="s">
        <v>4021</v>
      </c>
      <c r="F746" s="8">
        <v>221.35</v>
      </c>
      <c r="G746" s="11">
        <f>(FCV)*221.35</f>
        <v>221.35</v>
      </c>
    </row>
    <row r="747" spans="1:7" x14ac:dyDescent="0.2">
      <c r="A747" s="8" t="s">
        <v>4022</v>
      </c>
      <c r="B747" s="8">
        <v>21</v>
      </c>
      <c r="C747" s="8">
        <v>200</v>
      </c>
      <c r="D747" s="8">
        <v>1400</v>
      </c>
      <c r="E747" s="2" t="s">
        <v>4023</v>
      </c>
      <c r="F747" s="8">
        <v>242.9</v>
      </c>
      <c r="G747" s="11">
        <f>(FCV)*242.9</f>
        <v>242.9</v>
      </c>
    </row>
    <row r="748" spans="1:7" x14ac:dyDescent="0.2">
      <c r="A748" s="8" t="s">
        <v>4024</v>
      </c>
      <c r="B748" s="8">
        <v>21</v>
      </c>
      <c r="C748" s="8">
        <v>200</v>
      </c>
      <c r="D748" s="8">
        <v>1600</v>
      </c>
      <c r="E748" s="2" t="s">
        <v>4025</v>
      </c>
      <c r="F748" s="8">
        <v>264.86</v>
      </c>
      <c r="G748" s="11">
        <f>(FCV)*264.86</f>
        <v>264.86</v>
      </c>
    </row>
    <row r="749" spans="1:7" x14ac:dyDescent="0.2">
      <c r="A749" s="8" t="s">
        <v>4026</v>
      </c>
      <c r="B749" s="8">
        <v>21</v>
      </c>
      <c r="C749" s="8">
        <v>200</v>
      </c>
      <c r="D749" s="8">
        <v>1800</v>
      </c>
      <c r="E749" s="2" t="s">
        <v>4027</v>
      </c>
      <c r="F749" s="8">
        <v>287.91000000000003</v>
      </c>
      <c r="G749" s="11">
        <f>(FCV)*287.91</f>
        <v>287.91000000000003</v>
      </c>
    </row>
    <row r="750" spans="1:7" x14ac:dyDescent="0.2">
      <c r="A750" s="8" t="s">
        <v>4028</v>
      </c>
      <c r="B750" s="8">
        <v>21</v>
      </c>
      <c r="C750" s="8">
        <v>200</v>
      </c>
      <c r="D750" s="8">
        <v>2000</v>
      </c>
      <c r="E750" s="2" t="s">
        <v>4029</v>
      </c>
      <c r="F750" s="8">
        <v>308.64</v>
      </c>
      <c r="G750" s="11">
        <f>(FCV)*308.64</f>
        <v>308.64</v>
      </c>
    </row>
    <row r="751" spans="1:7" x14ac:dyDescent="0.2">
      <c r="A751" s="8" t="s">
        <v>4030</v>
      </c>
      <c r="B751" s="8">
        <v>21</v>
      </c>
      <c r="C751" s="8">
        <v>200</v>
      </c>
      <c r="D751" s="8">
        <v>2300</v>
      </c>
      <c r="E751" s="2" t="s">
        <v>4031</v>
      </c>
      <c r="F751" s="8">
        <v>341.71</v>
      </c>
      <c r="G751" s="11">
        <f>(FCV)*341.71</f>
        <v>341.71</v>
      </c>
    </row>
    <row r="752" spans="1:7" x14ac:dyDescent="0.2">
      <c r="A752" s="8" t="s">
        <v>4032</v>
      </c>
      <c r="B752" s="8">
        <v>21</v>
      </c>
      <c r="C752" s="8">
        <v>200</v>
      </c>
      <c r="D752" s="8">
        <v>2600</v>
      </c>
      <c r="E752" s="2" t="s">
        <v>4033</v>
      </c>
      <c r="F752" s="8">
        <v>380.07</v>
      </c>
      <c r="G752" s="11">
        <f>(FCV)*380.07</f>
        <v>380.07</v>
      </c>
    </row>
    <row r="753" spans="1:7" x14ac:dyDescent="0.2">
      <c r="A753" s="8" t="s">
        <v>4034</v>
      </c>
      <c r="B753" s="8">
        <v>21</v>
      </c>
      <c r="C753" s="8">
        <v>200</v>
      </c>
      <c r="D753" s="8">
        <v>3000</v>
      </c>
      <c r="E753" s="2" t="s">
        <v>4035</v>
      </c>
      <c r="F753" s="8">
        <v>418.17</v>
      </c>
      <c r="G753" s="11">
        <f>(FCV)*418.17</f>
        <v>418.17</v>
      </c>
    </row>
    <row r="754" spans="1:7" x14ac:dyDescent="0.2">
      <c r="A754" s="8" t="s">
        <v>4036</v>
      </c>
      <c r="B754" s="8">
        <v>22</v>
      </c>
      <c r="C754" s="8">
        <v>200</v>
      </c>
      <c r="D754" s="8">
        <v>600</v>
      </c>
      <c r="E754" s="2" t="s">
        <v>4037</v>
      </c>
      <c r="F754" s="8">
        <v>164.3</v>
      </c>
      <c r="G754" s="11">
        <f>(FCV)*164.3</f>
        <v>164.3</v>
      </c>
    </row>
    <row r="755" spans="1:7" x14ac:dyDescent="0.2">
      <c r="A755" s="8" t="s">
        <v>4038</v>
      </c>
      <c r="B755" s="8">
        <v>22</v>
      </c>
      <c r="C755" s="8">
        <v>200</v>
      </c>
      <c r="D755" s="8">
        <v>700</v>
      </c>
      <c r="E755" s="2" t="s">
        <v>4039</v>
      </c>
      <c r="F755" s="8">
        <v>175.67</v>
      </c>
      <c r="G755" s="11">
        <f>(FCV)*175.67</f>
        <v>175.67</v>
      </c>
    </row>
    <row r="756" spans="1:7" x14ac:dyDescent="0.2">
      <c r="A756" s="8" t="s">
        <v>4040</v>
      </c>
      <c r="B756" s="8">
        <v>22</v>
      </c>
      <c r="C756" s="8">
        <v>200</v>
      </c>
      <c r="D756" s="8">
        <v>800</v>
      </c>
      <c r="E756" s="2" t="s">
        <v>4041</v>
      </c>
      <c r="F756" s="8">
        <v>188.01</v>
      </c>
      <c r="G756" s="11">
        <f>(FCV)*188.01</f>
        <v>188.01</v>
      </c>
    </row>
    <row r="757" spans="1:7" x14ac:dyDescent="0.2">
      <c r="A757" s="8" t="s">
        <v>4042</v>
      </c>
      <c r="B757" s="8">
        <v>22</v>
      </c>
      <c r="C757" s="8">
        <v>200</v>
      </c>
      <c r="D757" s="8">
        <v>900</v>
      </c>
      <c r="E757" s="2" t="s">
        <v>4043</v>
      </c>
      <c r="F757" s="8">
        <v>199.53</v>
      </c>
      <c r="G757" s="11">
        <f>(FCV)*199.53</f>
        <v>199.53</v>
      </c>
    </row>
    <row r="758" spans="1:7" x14ac:dyDescent="0.2">
      <c r="A758" s="8" t="s">
        <v>4044</v>
      </c>
      <c r="B758" s="8">
        <v>22</v>
      </c>
      <c r="C758" s="8">
        <v>200</v>
      </c>
      <c r="D758" s="8">
        <v>1000</v>
      </c>
      <c r="E758" s="2" t="s">
        <v>4045</v>
      </c>
      <c r="F758" s="8">
        <v>211.45</v>
      </c>
      <c r="G758" s="11">
        <f>(FCV)*211.45</f>
        <v>211.45</v>
      </c>
    </row>
    <row r="759" spans="1:7" x14ac:dyDescent="0.2">
      <c r="A759" s="8" t="s">
        <v>4046</v>
      </c>
      <c r="B759" s="8">
        <v>22</v>
      </c>
      <c r="C759" s="8">
        <v>200</v>
      </c>
      <c r="D759" s="8">
        <v>1100</v>
      </c>
      <c r="E759" s="2" t="s">
        <v>4047</v>
      </c>
      <c r="F759" s="8">
        <v>222.96</v>
      </c>
      <c r="G759" s="11">
        <f>(FCV)*222.96</f>
        <v>222.96</v>
      </c>
    </row>
    <row r="760" spans="1:7" x14ac:dyDescent="0.2">
      <c r="A760" s="8" t="s">
        <v>4048</v>
      </c>
      <c r="B760" s="8">
        <v>22</v>
      </c>
      <c r="C760" s="8">
        <v>200</v>
      </c>
      <c r="D760" s="8">
        <v>1200</v>
      </c>
      <c r="E760" s="2" t="s">
        <v>4049</v>
      </c>
      <c r="F760" s="8">
        <v>233.93</v>
      </c>
      <c r="G760" s="11">
        <f>(FCV)*233.93</f>
        <v>233.93</v>
      </c>
    </row>
    <row r="761" spans="1:7" x14ac:dyDescent="0.2">
      <c r="A761" s="8" t="s">
        <v>4050</v>
      </c>
      <c r="B761" s="8">
        <v>22</v>
      </c>
      <c r="C761" s="8">
        <v>200</v>
      </c>
      <c r="D761" s="8">
        <v>1400</v>
      </c>
      <c r="E761" s="2" t="s">
        <v>4051</v>
      </c>
      <c r="F761" s="8">
        <v>257.68</v>
      </c>
      <c r="G761" s="11">
        <f>(FCV)*257.68</f>
        <v>257.68</v>
      </c>
    </row>
    <row r="762" spans="1:7" x14ac:dyDescent="0.2">
      <c r="A762" s="8" t="s">
        <v>4052</v>
      </c>
      <c r="B762" s="8">
        <v>22</v>
      </c>
      <c r="C762" s="8">
        <v>200</v>
      </c>
      <c r="D762" s="8">
        <v>1600</v>
      </c>
      <c r="E762" s="2" t="s">
        <v>4053</v>
      </c>
      <c r="F762" s="8">
        <v>281</v>
      </c>
      <c r="G762" s="11">
        <f>(FCV)*281</f>
        <v>281</v>
      </c>
    </row>
    <row r="763" spans="1:7" x14ac:dyDescent="0.2">
      <c r="A763" s="8" t="s">
        <v>4054</v>
      </c>
      <c r="B763" s="8">
        <v>22</v>
      </c>
      <c r="C763" s="8">
        <v>200</v>
      </c>
      <c r="D763" s="8">
        <v>1800</v>
      </c>
      <c r="E763" s="2" t="s">
        <v>4055</v>
      </c>
      <c r="F763" s="8">
        <v>304.85000000000002</v>
      </c>
      <c r="G763" s="11">
        <f>(FCV)*304.85</f>
        <v>304.85000000000002</v>
      </c>
    </row>
    <row r="764" spans="1:7" x14ac:dyDescent="0.2">
      <c r="A764" s="8" t="s">
        <v>4056</v>
      </c>
      <c r="B764" s="8">
        <v>22</v>
      </c>
      <c r="C764" s="8">
        <v>200</v>
      </c>
      <c r="D764" s="8">
        <v>2000</v>
      </c>
      <c r="E764" s="2" t="s">
        <v>4057</v>
      </c>
      <c r="F764" s="8">
        <v>328.05</v>
      </c>
      <c r="G764" s="11">
        <f>(FCV)*328.05</f>
        <v>328.05</v>
      </c>
    </row>
    <row r="765" spans="1:7" x14ac:dyDescent="0.2">
      <c r="A765" s="8" t="s">
        <v>4058</v>
      </c>
      <c r="B765" s="8">
        <v>22</v>
      </c>
      <c r="C765" s="8">
        <v>200</v>
      </c>
      <c r="D765" s="8">
        <v>2300</v>
      </c>
      <c r="E765" s="2" t="s">
        <v>4059</v>
      </c>
      <c r="F765" s="8">
        <v>363.26</v>
      </c>
      <c r="G765" s="11">
        <f>(FCV)*363.26</f>
        <v>363.26</v>
      </c>
    </row>
    <row r="766" spans="1:7" x14ac:dyDescent="0.2">
      <c r="A766" s="8" t="s">
        <v>4060</v>
      </c>
      <c r="B766" s="8">
        <v>22</v>
      </c>
      <c r="C766" s="8">
        <v>200</v>
      </c>
      <c r="D766" s="8">
        <v>2600</v>
      </c>
      <c r="E766" s="2" t="s">
        <v>4061</v>
      </c>
      <c r="F766" s="8">
        <v>398.23</v>
      </c>
      <c r="G766" s="11">
        <f>(FCV)*398.23</f>
        <v>398.23</v>
      </c>
    </row>
    <row r="767" spans="1:7" x14ac:dyDescent="0.2">
      <c r="A767" s="8" t="s">
        <v>4062</v>
      </c>
      <c r="B767" s="8">
        <v>22</v>
      </c>
      <c r="C767" s="8">
        <v>200</v>
      </c>
      <c r="D767" s="8">
        <v>3000</v>
      </c>
      <c r="E767" s="2" t="s">
        <v>4063</v>
      </c>
      <c r="F767" s="8">
        <v>444.98</v>
      </c>
      <c r="G767" s="11">
        <f>(FCV)*444.98</f>
        <v>444.98</v>
      </c>
    </row>
    <row r="768" spans="1:7" x14ac:dyDescent="0.2">
      <c r="A768" s="8" t="s">
        <v>4064</v>
      </c>
      <c r="B768" s="8">
        <v>33</v>
      </c>
      <c r="C768" s="8">
        <v>200</v>
      </c>
      <c r="D768" s="8">
        <v>600</v>
      </c>
      <c r="E768" s="2" t="s">
        <v>4065</v>
      </c>
      <c r="F768" s="8">
        <v>267.56</v>
      </c>
      <c r="G768" s="11">
        <f>(FCV)*267.56</f>
        <v>267.56</v>
      </c>
    </row>
    <row r="769" spans="1:7" x14ac:dyDescent="0.2">
      <c r="A769" s="8" t="s">
        <v>4066</v>
      </c>
      <c r="B769" s="8">
        <v>33</v>
      </c>
      <c r="C769" s="8">
        <v>200</v>
      </c>
      <c r="D769" s="8">
        <v>700</v>
      </c>
      <c r="E769" s="2" t="s">
        <v>4067</v>
      </c>
      <c r="F769" s="8">
        <v>282.89</v>
      </c>
      <c r="G769" s="11">
        <f>(FCV)*282.89</f>
        <v>282.89</v>
      </c>
    </row>
    <row r="770" spans="1:7" x14ac:dyDescent="0.2">
      <c r="A770" s="8" t="s">
        <v>4068</v>
      </c>
      <c r="B770" s="8">
        <v>33</v>
      </c>
      <c r="C770" s="8">
        <v>200</v>
      </c>
      <c r="D770" s="8">
        <v>800</v>
      </c>
      <c r="E770" s="2" t="s">
        <v>4069</v>
      </c>
      <c r="F770" s="8">
        <v>299.7</v>
      </c>
      <c r="G770" s="11">
        <f>(FCV)*299.7</f>
        <v>299.7</v>
      </c>
    </row>
    <row r="771" spans="1:7" x14ac:dyDescent="0.2">
      <c r="A771" s="8" t="s">
        <v>4070</v>
      </c>
      <c r="B771" s="8">
        <v>33</v>
      </c>
      <c r="C771" s="8">
        <v>200</v>
      </c>
      <c r="D771" s="8">
        <v>900</v>
      </c>
      <c r="E771" s="2" t="s">
        <v>4071</v>
      </c>
      <c r="F771" s="8">
        <v>315.56</v>
      </c>
      <c r="G771" s="11">
        <f>(FCV)*315.56</f>
        <v>315.56</v>
      </c>
    </row>
    <row r="772" spans="1:7" x14ac:dyDescent="0.2">
      <c r="A772" s="8" t="s">
        <v>4072</v>
      </c>
      <c r="B772" s="8">
        <v>33</v>
      </c>
      <c r="C772" s="8">
        <v>200</v>
      </c>
      <c r="D772" s="8">
        <v>1000</v>
      </c>
      <c r="E772" s="2" t="s">
        <v>4073</v>
      </c>
      <c r="F772" s="8">
        <v>331.55</v>
      </c>
      <c r="G772" s="11">
        <f>(FCV)*331.55</f>
        <v>331.55</v>
      </c>
    </row>
    <row r="773" spans="1:7" x14ac:dyDescent="0.2">
      <c r="A773" s="8" t="s">
        <v>4074</v>
      </c>
      <c r="B773" s="8">
        <v>33</v>
      </c>
      <c r="C773" s="8">
        <v>200</v>
      </c>
      <c r="D773" s="8">
        <v>1100</v>
      </c>
      <c r="E773" s="2" t="s">
        <v>4075</v>
      </c>
      <c r="F773" s="8">
        <v>348.63</v>
      </c>
      <c r="G773" s="11">
        <f>(FCV)*348.63</f>
        <v>348.63</v>
      </c>
    </row>
    <row r="774" spans="1:7" x14ac:dyDescent="0.2">
      <c r="A774" s="8" t="s">
        <v>4076</v>
      </c>
      <c r="B774" s="8">
        <v>33</v>
      </c>
      <c r="C774" s="8">
        <v>200</v>
      </c>
      <c r="D774" s="8">
        <v>1200</v>
      </c>
      <c r="E774" s="2" t="s">
        <v>4077</v>
      </c>
      <c r="F774" s="8">
        <v>365.01</v>
      </c>
      <c r="G774" s="11">
        <f>(FCV)*365.01</f>
        <v>365.01</v>
      </c>
    </row>
    <row r="775" spans="1:7" x14ac:dyDescent="0.2">
      <c r="A775" s="8" t="s">
        <v>4078</v>
      </c>
      <c r="B775" s="8">
        <v>33</v>
      </c>
      <c r="C775" s="8">
        <v>200</v>
      </c>
      <c r="D775" s="8">
        <v>1400</v>
      </c>
      <c r="E775" s="2" t="s">
        <v>4079</v>
      </c>
      <c r="F775" s="8">
        <v>398.23</v>
      </c>
      <c r="G775" s="11">
        <f>(FCV)*398.23</f>
        <v>398.23</v>
      </c>
    </row>
    <row r="776" spans="1:7" x14ac:dyDescent="0.2">
      <c r="A776" s="8" t="s">
        <v>4080</v>
      </c>
      <c r="B776" s="8">
        <v>33</v>
      </c>
      <c r="C776" s="8">
        <v>200</v>
      </c>
      <c r="D776" s="8">
        <v>1600</v>
      </c>
      <c r="E776" s="2" t="s">
        <v>4081</v>
      </c>
      <c r="F776" s="8">
        <v>431.3</v>
      </c>
      <c r="G776" s="11">
        <f>(FCV)*431.3</f>
        <v>431.3</v>
      </c>
    </row>
    <row r="777" spans="1:7" x14ac:dyDescent="0.2">
      <c r="A777" s="8" t="s">
        <v>4082</v>
      </c>
      <c r="B777" s="8">
        <v>33</v>
      </c>
      <c r="C777" s="8">
        <v>200</v>
      </c>
      <c r="D777" s="8">
        <v>1800</v>
      </c>
      <c r="E777" s="2" t="s">
        <v>4083</v>
      </c>
      <c r="F777" s="8">
        <v>454.34</v>
      </c>
      <c r="G777" s="11">
        <f>(FCV)*454.34</f>
        <v>454.34</v>
      </c>
    </row>
    <row r="778" spans="1:7" x14ac:dyDescent="0.2">
      <c r="A778" s="8" t="s">
        <v>4084</v>
      </c>
      <c r="B778" s="8">
        <v>33</v>
      </c>
      <c r="C778" s="8">
        <v>200</v>
      </c>
      <c r="D778" s="8">
        <v>2000</v>
      </c>
      <c r="E778" s="2" t="s">
        <v>4085</v>
      </c>
      <c r="F778" s="8">
        <v>497.04</v>
      </c>
      <c r="G778" s="11">
        <f>(FCV)*497.04</f>
        <v>497.04</v>
      </c>
    </row>
    <row r="779" spans="1:7" x14ac:dyDescent="0.2">
      <c r="A779" s="8" t="s">
        <v>4086</v>
      </c>
      <c r="B779" s="8">
        <v>33</v>
      </c>
      <c r="C779" s="8">
        <v>200</v>
      </c>
      <c r="D779" s="8">
        <v>2300</v>
      </c>
      <c r="E779" s="2" t="s">
        <v>4087</v>
      </c>
      <c r="F779" s="8">
        <v>547.09</v>
      </c>
      <c r="G779" s="11">
        <f>(FCV)*547.09</f>
        <v>547.09</v>
      </c>
    </row>
    <row r="780" spans="1:7" x14ac:dyDescent="0.2">
      <c r="A780" s="8" t="s">
        <v>4088</v>
      </c>
      <c r="B780" s="8">
        <v>33</v>
      </c>
      <c r="C780" s="8">
        <v>200</v>
      </c>
      <c r="D780" s="8">
        <v>2600</v>
      </c>
      <c r="E780" s="2" t="s">
        <v>4089</v>
      </c>
      <c r="F780" s="8">
        <v>596.4</v>
      </c>
      <c r="G780" s="11">
        <f>(FCV)*596.4</f>
        <v>596.4</v>
      </c>
    </row>
    <row r="781" spans="1:7" x14ac:dyDescent="0.2">
      <c r="A781" s="8" t="s">
        <v>4090</v>
      </c>
      <c r="B781" s="8">
        <v>33</v>
      </c>
      <c r="C781" s="8">
        <v>200</v>
      </c>
      <c r="D781" s="8">
        <v>3000</v>
      </c>
      <c r="E781" s="2" t="s">
        <v>4091</v>
      </c>
      <c r="F781" s="8">
        <v>647.66</v>
      </c>
      <c r="G781" s="11">
        <f>(FCV)*647.66</f>
        <v>647.66</v>
      </c>
    </row>
    <row r="782" spans="1:7" x14ac:dyDescent="0.2">
      <c r="A782" s="8" t="s">
        <v>4092</v>
      </c>
      <c r="B782" s="8">
        <v>44</v>
      </c>
      <c r="C782" s="8">
        <v>200</v>
      </c>
      <c r="D782" s="8">
        <v>600</v>
      </c>
      <c r="E782" s="2" t="s">
        <v>4093</v>
      </c>
      <c r="F782" s="8">
        <v>318.54000000000002</v>
      </c>
      <c r="G782" s="11">
        <f>(FCV)*318.54</f>
        <v>318.54000000000002</v>
      </c>
    </row>
    <row r="783" spans="1:7" x14ac:dyDescent="0.2">
      <c r="A783" s="8" t="s">
        <v>4094</v>
      </c>
      <c r="B783" s="8">
        <v>44</v>
      </c>
      <c r="C783" s="8">
        <v>200</v>
      </c>
      <c r="D783" s="8">
        <v>700</v>
      </c>
      <c r="E783" s="2" t="s">
        <v>4095</v>
      </c>
      <c r="F783" s="8">
        <v>341.59</v>
      </c>
      <c r="G783" s="11">
        <f>(FCV)*341.59</f>
        <v>341.59</v>
      </c>
    </row>
    <row r="784" spans="1:7" x14ac:dyDescent="0.2">
      <c r="A784" s="8" t="s">
        <v>4096</v>
      </c>
      <c r="B784" s="8">
        <v>44</v>
      </c>
      <c r="C784" s="8">
        <v>200</v>
      </c>
      <c r="D784" s="8">
        <v>800</v>
      </c>
      <c r="E784" s="2" t="s">
        <v>4097</v>
      </c>
      <c r="F784" s="8">
        <v>366.11</v>
      </c>
      <c r="G784" s="11">
        <f>(FCV)*366.11</f>
        <v>366.11</v>
      </c>
    </row>
    <row r="785" spans="1:7" x14ac:dyDescent="0.2">
      <c r="A785" s="8" t="s">
        <v>4098</v>
      </c>
      <c r="B785" s="8">
        <v>44</v>
      </c>
      <c r="C785" s="8">
        <v>200</v>
      </c>
      <c r="D785" s="8">
        <v>900</v>
      </c>
      <c r="E785" s="2" t="s">
        <v>4099</v>
      </c>
      <c r="F785" s="8">
        <v>389.01</v>
      </c>
      <c r="G785" s="11">
        <f>(FCV)*389.01</f>
        <v>389.01</v>
      </c>
    </row>
    <row r="786" spans="1:7" x14ac:dyDescent="0.2">
      <c r="A786" s="8" t="s">
        <v>4100</v>
      </c>
      <c r="B786" s="8">
        <v>44</v>
      </c>
      <c r="C786" s="8">
        <v>200</v>
      </c>
      <c r="D786" s="8">
        <v>1000</v>
      </c>
      <c r="E786" s="2" t="s">
        <v>4101</v>
      </c>
      <c r="F786" s="8">
        <v>413.01</v>
      </c>
      <c r="G786" s="11">
        <f>(FCV)*413.01</f>
        <v>413.01</v>
      </c>
    </row>
    <row r="787" spans="1:7" x14ac:dyDescent="0.2">
      <c r="A787" s="8" t="s">
        <v>4102</v>
      </c>
      <c r="B787" s="8">
        <v>44</v>
      </c>
      <c r="C787" s="8">
        <v>200</v>
      </c>
      <c r="D787" s="8">
        <v>1100</v>
      </c>
      <c r="E787" s="2" t="s">
        <v>4103</v>
      </c>
      <c r="F787" s="8">
        <v>436.32</v>
      </c>
      <c r="G787" s="11">
        <f>(FCV)*436.32</f>
        <v>436.32</v>
      </c>
    </row>
    <row r="788" spans="1:7" x14ac:dyDescent="0.2">
      <c r="A788" s="8" t="s">
        <v>4104</v>
      </c>
      <c r="B788" s="8">
        <v>44</v>
      </c>
      <c r="C788" s="8">
        <v>200</v>
      </c>
      <c r="D788" s="8">
        <v>1200</v>
      </c>
      <c r="E788" s="2" t="s">
        <v>4105</v>
      </c>
      <c r="F788" s="8">
        <v>458.44</v>
      </c>
      <c r="G788" s="11">
        <f>(FCV)*458.44</f>
        <v>458.44</v>
      </c>
    </row>
    <row r="789" spans="1:7" x14ac:dyDescent="0.2">
      <c r="A789" s="8" t="s">
        <v>4106</v>
      </c>
      <c r="B789" s="8">
        <v>44</v>
      </c>
      <c r="C789" s="8">
        <v>200</v>
      </c>
      <c r="D789" s="8">
        <v>1400</v>
      </c>
      <c r="E789" s="2" t="s">
        <v>4107</v>
      </c>
      <c r="F789" s="8">
        <v>505.31</v>
      </c>
      <c r="G789" s="11">
        <f>(FCV)*505.31</f>
        <v>505.31</v>
      </c>
    </row>
    <row r="790" spans="1:7" x14ac:dyDescent="0.2">
      <c r="A790" s="8" t="s">
        <v>4108</v>
      </c>
      <c r="B790" s="8">
        <v>44</v>
      </c>
      <c r="C790" s="8">
        <v>200</v>
      </c>
      <c r="D790" s="8">
        <v>1600</v>
      </c>
      <c r="E790" s="2" t="s">
        <v>4109</v>
      </c>
      <c r="F790" s="8">
        <v>552.07000000000005</v>
      </c>
      <c r="G790" s="11">
        <f>(FCV)*552.07</f>
        <v>552.07000000000005</v>
      </c>
    </row>
    <row r="791" spans="1:7" x14ac:dyDescent="0.2">
      <c r="A791" s="8" t="s">
        <v>4110</v>
      </c>
      <c r="B791" s="8">
        <v>44</v>
      </c>
      <c r="C791" s="8">
        <v>200</v>
      </c>
      <c r="D791" s="8">
        <v>1800</v>
      </c>
      <c r="E791" s="2" t="s">
        <v>4111</v>
      </c>
      <c r="F791" s="8">
        <v>599.78</v>
      </c>
      <c r="G791" s="11">
        <f>(FCV)*599.78</f>
        <v>599.78</v>
      </c>
    </row>
    <row r="792" spans="1:7" x14ac:dyDescent="0.2">
      <c r="A792" s="8" t="s">
        <v>4112</v>
      </c>
      <c r="B792" s="8">
        <v>44</v>
      </c>
      <c r="C792" s="8">
        <v>200</v>
      </c>
      <c r="D792" s="8">
        <v>2000</v>
      </c>
      <c r="E792" s="2" t="s">
        <v>4113</v>
      </c>
      <c r="F792" s="8">
        <v>646.28</v>
      </c>
      <c r="G792" s="11">
        <f>(FCV)*646.28</f>
        <v>646.28</v>
      </c>
    </row>
    <row r="793" spans="1:7" x14ac:dyDescent="0.2">
      <c r="A793" s="8" t="s">
        <v>4114</v>
      </c>
      <c r="B793" s="8">
        <v>44</v>
      </c>
      <c r="C793" s="8">
        <v>200</v>
      </c>
      <c r="D793" s="8">
        <v>2300</v>
      </c>
      <c r="E793" s="2" t="s">
        <v>4115</v>
      </c>
      <c r="F793" s="8">
        <v>716.76</v>
      </c>
      <c r="G793" s="11">
        <f>(FCV)*716.76</f>
        <v>716.76</v>
      </c>
    </row>
    <row r="794" spans="1:7" x14ac:dyDescent="0.2">
      <c r="A794" s="8" t="s">
        <v>4116</v>
      </c>
      <c r="B794" s="8">
        <v>44</v>
      </c>
      <c r="C794" s="8">
        <v>200</v>
      </c>
      <c r="D794" s="8">
        <v>2600</v>
      </c>
      <c r="E794" s="2" t="s">
        <v>4117</v>
      </c>
      <c r="F794" s="8">
        <v>786.58</v>
      </c>
      <c r="G794" s="11">
        <f>(FCV)*786.58</f>
        <v>786.58</v>
      </c>
    </row>
    <row r="795" spans="1:7" x14ac:dyDescent="0.2">
      <c r="A795" s="8" t="s">
        <v>4118</v>
      </c>
      <c r="B795" s="8">
        <v>44</v>
      </c>
      <c r="C795" s="8">
        <v>200</v>
      </c>
      <c r="D795" s="8">
        <v>3000</v>
      </c>
      <c r="E795" s="2" t="s">
        <v>4119</v>
      </c>
      <c r="F795" s="8">
        <v>880.23</v>
      </c>
      <c r="G795" s="11">
        <f>(FCV)*880.23</f>
        <v>880.23</v>
      </c>
    </row>
    <row r="796" spans="1:7" x14ac:dyDescent="0.2"/>
    <row r="797" spans="1:7" x14ac:dyDescent="0.2"/>
  </sheetData>
  <autoFilter ref="A11:J795"/>
  <hyperlinks>
    <hyperlink ref="C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"/>
  <sheetViews>
    <sheetView workbookViewId="0">
      <pane ySplit="11" topLeftCell="A12" activePane="bottomLeft" state="frozen"/>
      <selection activeCell="A2" sqref="A2"/>
      <selection pane="bottomLeft" activeCell="G10" sqref="G10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85546875" style="2" bestFit="1" customWidth="1"/>
    <col min="4" max="4" width="11.42578125" style="2" customWidth="1"/>
    <col min="5" max="5" width="25.85546875" style="2" bestFit="1" customWidth="1"/>
    <col min="6" max="6" width="18.85546875" style="2" bestFit="1" customWidth="1"/>
    <col min="7" max="7" width="21.28515625" style="2" customWidth="1"/>
    <col min="8" max="8" width="4.7109375" style="2" hidden="1" customWidth="1"/>
    <col min="9" max="9" width="20.5703125" style="2" hidden="1" customWidth="1"/>
    <col min="10" max="10" width="6.85546875" style="2" hidden="1" customWidth="1"/>
    <col min="11" max="12" width="9.140625" style="2" customWidth="1"/>
    <col min="13" max="15" width="0" style="2" hidden="1"/>
    <col min="16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5350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x14ac:dyDescent="0.2"/>
    <row r="10" spans="1:11" ht="21" customHeight="1" x14ac:dyDescent="0.2">
      <c r="A10" s="1" t="s">
        <v>5331</v>
      </c>
      <c r="F10" s="3" t="s">
        <v>5336</v>
      </c>
      <c r="G10" s="4">
        <v>0</v>
      </c>
      <c r="H10" s="5">
        <f>(1-G10)</f>
        <v>1</v>
      </c>
      <c r="I10" s="5"/>
      <c r="J10" s="5"/>
    </row>
    <row r="11" spans="1:11" s="8" customFormat="1" x14ac:dyDescent="0.2">
      <c r="A11" s="6" t="s">
        <v>5326</v>
      </c>
      <c r="B11" s="6" t="s">
        <v>5332</v>
      </c>
      <c r="C11" s="6" t="s">
        <v>5333</v>
      </c>
      <c r="D11" s="6" t="s">
        <v>5334</v>
      </c>
      <c r="E11" s="6" t="s">
        <v>5327</v>
      </c>
      <c r="F11" s="6" t="s">
        <v>5329</v>
      </c>
      <c r="G11" s="7" t="s">
        <v>5330</v>
      </c>
      <c r="I11" s="8" t="s">
        <v>5261</v>
      </c>
      <c r="J11" s="8" t="s">
        <v>5260</v>
      </c>
    </row>
    <row r="12" spans="1:11" x14ac:dyDescent="0.2">
      <c r="A12" s="8" t="s">
        <v>0</v>
      </c>
      <c r="B12" s="8">
        <v>11</v>
      </c>
      <c r="C12" s="8">
        <v>300</v>
      </c>
      <c r="D12" s="9">
        <v>400</v>
      </c>
      <c r="E12" s="2" t="s">
        <v>1</v>
      </c>
      <c r="F12" s="10">
        <v>73.41</v>
      </c>
      <c r="G12" s="11">
        <f>(R_C)*73.41</f>
        <v>73.41</v>
      </c>
    </row>
    <row r="13" spans="1:11" x14ac:dyDescent="0.2">
      <c r="A13" s="8" t="s">
        <v>2</v>
      </c>
      <c r="B13" s="8">
        <v>11</v>
      </c>
      <c r="C13" s="8">
        <v>300</v>
      </c>
      <c r="D13" s="9">
        <v>500</v>
      </c>
      <c r="E13" s="2" t="s">
        <v>3</v>
      </c>
      <c r="F13" s="10">
        <v>77.510000000000005</v>
      </c>
      <c r="G13" s="11">
        <f>(R_C)*77.51</f>
        <v>77.510000000000005</v>
      </c>
    </row>
    <row r="14" spans="1:11" x14ac:dyDescent="0.2">
      <c r="A14" s="8" t="s">
        <v>4</v>
      </c>
      <c r="B14" s="8">
        <v>11</v>
      </c>
      <c r="C14" s="8">
        <v>300</v>
      </c>
      <c r="D14" s="9">
        <v>600</v>
      </c>
      <c r="E14" s="2" t="s">
        <v>5</v>
      </c>
      <c r="F14" s="10">
        <v>81.739999999999995</v>
      </c>
      <c r="G14" s="11">
        <f>(R_C)*81.74</f>
        <v>81.739999999999995</v>
      </c>
    </row>
    <row r="15" spans="1:11" x14ac:dyDescent="0.2">
      <c r="A15" s="8" t="s">
        <v>6</v>
      </c>
      <c r="B15" s="8">
        <v>11</v>
      </c>
      <c r="C15" s="8">
        <v>300</v>
      </c>
      <c r="D15" s="9">
        <v>800</v>
      </c>
      <c r="E15" s="2" t="s">
        <v>7</v>
      </c>
      <c r="F15" s="10">
        <v>89.22</v>
      </c>
      <c r="G15" s="11">
        <f>(R_C)*89.22</f>
        <v>89.22</v>
      </c>
    </row>
    <row r="16" spans="1:11" x14ac:dyDescent="0.2">
      <c r="A16" s="8" t="s">
        <v>8</v>
      </c>
      <c r="B16" s="8">
        <v>11</v>
      </c>
      <c r="C16" s="8">
        <v>300</v>
      </c>
      <c r="D16" s="9">
        <v>1000</v>
      </c>
      <c r="E16" s="2" t="s">
        <v>9</v>
      </c>
      <c r="F16" s="10">
        <v>99.39</v>
      </c>
      <c r="G16" s="11">
        <f>(R_C)*99.39</f>
        <v>99.39</v>
      </c>
    </row>
    <row r="17" spans="1:15" x14ac:dyDescent="0.2">
      <c r="A17" s="8" t="s">
        <v>10</v>
      </c>
      <c r="B17" s="8">
        <v>11</v>
      </c>
      <c r="C17" s="8">
        <v>300</v>
      </c>
      <c r="D17" s="9">
        <v>1200</v>
      </c>
      <c r="E17" s="2" t="s">
        <v>11</v>
      </c>
      <c r="F17" s="10">
        <v>112.64</v>
      </c>
      <c r="G17" s="11">
        <f>(R_C)*112.64</f>
        <v>112.64</v>
      </c>
    </row>
    <row r="18" spans="1:15" x14ac:dyDescent="0.2">
      <c r="A18" s="8" t="s">
        <v>12</v>
      </c>
      <c r="B18" s="8">
        <v>11</v>
      </c>
      <c r="C18" s="8">
        <v>300</v>
      </c>
      <c r="D18" s="9">
        <v>1400</v>
      </c>
      <c r="E18" s="2" t="s">
        <v>13</v>
      </c>
      <c r="F18" s="10">
        <v>134.38</v>
      </c>
      <c r="G18" s="11">
        <f>(R_C)*134.38</f>
        <v>134.38</v>
      </c>
    </row>
    <row r="19" spans="1:15" x14ac:dyDescent="0.2">
      <c r="A19" s="8" t="s">
        <v>14</v>
      </c>
      <c r="B19" s="8">
        <v>11</v>
      </c>
      <c r="C19" s="8">
        <v>300</v>
      </c>
      <c r="D19" s="9">
        <v>1600</v>
      </c>
      <c r="E19" s="2" t="s">
        <v>15</v>
      </c>
      <c r="F19" s="10">
        <v>145.69</v>
      </c>
      <c r="G19" s="11">
        <f>(R_C)*145.69</f>
        <v>145.69</v>
      </c>
    </row>
    <row r="20" spans="1:15" x14ac:dyDescent="0.2">
      <c r="A20" s="8" t="s">
        <v>16</v>
      </c>
      <c r="B20" s="8">
        <v>11</v>
      </c>
      <c r="C20" s="8">
        <v>300</v>
      </c>
      <c r="D20" s="9">
        <v>1800</v>
      </c>
      <c r="E20" s="2" t="s">
        <v>17</v>
      </c>
      <c r="F20" s="10">
        <v>161.74</v>
      </c>
      <c r="G20" s="11">
        <f>(R_C)*161.74</f>
        <v>161.74</v>
      </c>
      <c r="L20" s="13"/>
    </row>
    <row r="21" spans="1:15" x14ac:dyDescent="0.2">
      <c r="A21" s="8" t="s">
        <v>18</v>
      </c>
      <c r="B21" s="8">
        <v>11</v>
      </c>
      <c r="C21" s="8">
        <v>300</v>
      </c>
      <c r="D21" s="9">
        <v>2000</v>
      </c>
      <c r="E21" s="2" t="s">
        <v>19</v>
      </c>
      <c r="F21" s="10">
        <v>173.04</v>
      </c>
      <c r="G21" s="11">
        <f>(R_C)*173.04</f>
        <v>173.04</v>
      </c>
    </row>
    <row r="22" spans="1:15" x14ac:dyDescent="0.2">
      <c r="A22" s="8" t="s">
        <v>20</v>
      </c>
      <c r="B22" s="8">
        <v>11</v>
      </c>
      <c r="C22" s="8">
        <v>300</v>
      </c>
      <c r="D22" s="9">
        <v>2300</v>
      </c>
      <c r="E22" s="2" t="s">
        <v>21</v>
      </c>
      <c r="F22" s="10">
        <v>192.27</v>
      </c>
      <c r="G22" s="11">
        <f>(R_C)*192.27</f>
        <v>192.27</v>
      </c>
    </row>
    <row r="23" spans="1:15" x14ac:dyDescent="0.2">
      <c r="A23" s="8" t="s">
        <v>22</v>
      </c>
      <c r="B23" s="8">
        <v>11</v>
      </c>
      <c r="C23" s="8">
        <v>300</v>
      </c>
      <c r="D23" s="9">
        <v>2600</v>
      </c>
      <c r="E23" s="2" t="s">
        <v>23</v>
      </c>
      <c r="F23" s="10">
        <v>208.5</v>
      </c>
      <c r="G23" s="11">
        <f>(R_C)*208.5</f>
        <v>208.5</v>
      </c>
    </row>
    <row r="24" spans="1:15" x14ac:dyDescent="0.2">
      <c r="A24" s="8" t="s">
        <v>24</v>
      </c>
      <c r="B24" s="8">
        <v>11</v>
      </c>
      <c r="C24" s="8">
        <v>300</v>
      </c>
      <c r="D24" s="9">
        <v>3000</v>
      </c>
      <c r="E24" s="2" t="s">
        <v>25</v>
      </c>
      <c r="F24" s="10">
        <v>238.98</v>
      </c>
      <c r="G24" s="11">
        <f>(R_C)*238.98</f>
        <v>238.98</v>
      </c>
      <c r="O24" s="12" t="s">
        <v>5339</v>
      </c>
    </row>
    <row r="25" spans="1:15" x14ac:dyDescent="0.2">
      <c r="A25" s="8" t="s">
        <v>26</v>
      </c>
      <c r="B25" s="8">
        <v>11</v>
      </c>
      <c r="C25" s="8">
        <v>400</v>
      </c>
      <c r="D25" s="9">
        <v>400</v>
      </c>
      <c r="E25" s="2" t="s">
        <v>27</v>
      </c>
      <c r="F25" s="10">
        <v>79.36</v>
      </c>
      <c r="G25" s="11">
        <f>(R_C)*79.36</f>
        <v>79.36</v>
      </c>
    </row>
    <row r="26" spans="1:15" x14ac:dyDescent="0.2">
      <c r="A26" s="8" t="s">
        <v>28</v>
      </c>
      <c r="B26" s="8">
        <v>11</v>
      </c>
      <c r="C26" s="8">
        <v>400</v>
      </c>
      <c r="D26" s="9">
        <v>500</v>
      </c>
      <c r="E26" s="2" t="s">
        <v>29</v>
      </c>
      <c r="F26" s="10">
        <v>83.59</v>
      </c>
      <c r="G26" s="11">
        <f>(R_C)*83.59</f>
        <v>83.59</v>
      </c>
    </row>
    <row r="27" spans="1:15" x14ac:dyDescent="0.2">
      <c r="A27" s="8" t="s">
        <v>30</v>
      </c>
      <c r="B27" s="8">
        <v>11</v>
      </c>
      <c r="C27" s="8">
        <v>400</v>
      </c>
      <c r="D27" s="9">
        <v>600</v>
      </c>
      <c r="E27" s="2" t="s">
        <v>31</v>
      </c>
      <c r="F27" s="10">
        <v>89.22</v>
      </c>
      <c r="G27" s="11">
        <f>(R_C)*89.22</f>
        <v>89.22</v>
      </c>
    </row>
    <row r="28" spans="1:15" x14ac:dyDescent="0.2">
      <c r="A28" s="8" t="s">
        <v>32</v>
      </c>
      <c r="B28" s="8">
        <v>11</v>
      </c>
      <c r="C28" s="8">
        <v>400</v>
      </c>
      <c r="D28" s="9">
        <v>800</v>
      </c>
      <c r="E28" s="2" t="s">
        <v>33</v>
      </c>
      <c r="F28" s="10">
        <v>99.39</v>
      </c>
      <c r="G28" s="11">
        <f>(R_C)*99.39</f>
        <v>99.39</v>
      </c>
    </row>
    <row r="29" spans="1:15" x14ac:dyDescent="0.2">
      <c r="A29" s="8" t="s">
        <v>34</v>
      </c>
      <c r="B29" s="8">
        <v>11</v>
      </c>
      <c r="C29" s="8">
        <v>400</v>
      </c>
      <c r="D29" s="9">
        <v>1000</v>
      </c>
      <c r="E29" s="2" t="s">
        <v>35</v>
      </c>
      <c r="F29" s="10">
        <v>110.93</v>
      </c>
      <c r="G29" s="11">
        <f>(R_C)*110.93</f>
        <v>110.93</v>
      </c>
    </row>
    <row r="30" spans="1:15" x14ac:dyDescent="0.2">
      <c r="A30" s="8" t="s">
        <v>36</v>
      </c>
      <c r="B30" s="8">
        <v>11</v>
      </c>
      <c r="C30" s="8">
        <v>400</v>
      </c>
      <c r="D30" s="9">
        <v>1200</v>
      </c>
      <c r="E30" s="2" t="s">
        <v>37</v>
      </c>
      <c r="F30" s="10">
        <v>126.76</v>
      </c>
      <c r="G30" s="11">
        <f>(R_C)*126.76</f>
        <v>126.76</v>
      </c>
    </row>
    <row r="31" spans="1:15" x14ac:dyDescent="0.2">
      <c r="A31" s="8" t="s">
        <v>38</v>
      </c>
      <c r="B31" s="8">
        <v>11</v>
      </c>
      <c r="C31" s="8">
        <v>400</v>
      </c>
      <c r="D31" s="9">
        <v>1400</v>
      </c>
      <c r="E31" s="2" t="s">
        <v>39</v>
      </c>
      <c r="F31" s="10">
        <v>150.9</v>
      </c>
      <c r="G31" s="11">
        <f>(R_C)*150.9</f>
        <v>150.9</v>
      </c>
    </row>
    <row r="32" spans="1:15" x14ac:dyDescent="0.2">
      <c r="A32" s="8" t="s">
        <v>40</v>
      </c>
      <c r="B32" s="8">
        <v>11</v>
      </c>
      <c r="C32" s="8">
        <v>400</v>
      </c>
      <c r="D32" s="9">
        <v>1600</v>
      </c>
      <c r="E32" s="2" t="s">
        <v>41</v>
      </c>
      <c r="F32" s="10">
        <v>163.86</v>
      </c>
      <c r="G32" s="11">
        <f>(R_C)*163.86</f>
        <v>163.86</v>
      </c>
    </row>
    <row r="33" spans="1:7" x14ac:dyDescent="0.2">
      <c r="A33" s="8" t="s">
        <v>42</v>
      </c>
      <c r="B33" s="8">
        <v>11</v>
      </c>
      <c r="C33" s="8">
        <v>400</v>
      </c>
      <c r="D33" s="9">
        <v>1800</v>
      </c>
      <c r="E33" s="2" t="s">
        <v>43</v>
      </c>
      <c r="F33" s="10">
        <v>182.55</v>
      </c>
      <c r="G33" s="11">
        <f>(R_C)*182.55</f>
        <v>182.55</v>
      </c>
    </row>
    <row r="34" spans="1:7" x14ac:dyDescent="0.2">
      <c r="A34" s="8" t="s">
        <v>44</v>
      </c>
      <c r="B34" s="8">
        <v>11</v>
      </c>
      <c r="C34" s="8">
        <v>400</v>
      </c>
      <c r="D34" s="9">
        <v>2000</v>
      </c>
      <c r="E34" s="2" t="s">
        <v>45</v>
      </c>
      <c r="F34" s="10">
        <v>195.53</v>
      </c>
      <c r="G34" s="11">
        <f>(R_C)*195.53</f>
        <v>195.53</v>
      </c>
    </row>
    <row r="35" spans="1:7" x14ac:dyDescent="0.2">
      <c r="A35" s="8" t="s">
        <v>46</v>
      </c>
      <c r="B35" s="8">
        <v>11</v>
      </c>
      <c r="C35" s="8">
        <v>400</v>
      </c>
      <c r="D35" s="9">
        <v>2300</v>
      </c>
      <c r="E35" s="2" t="s">
        <v>47</v>
      </c>
      <c r="F35" s="10">
        <v>218.22</v>
      </c>
      <c r="G35" s="11">
        <f>(R_C)*218.22</f>
        <v>218.22</v>
      </c>
    </row>
    <row r="36" spans="1:7" x14ac:dyDescent="0.2">
      <c r="A36" s="8" t="s">
        <v>48</v>
      </c>
      <c r="B36" s="8">
        <v>11</v>
      </c>
      <c r="C36" s="8">
        <v>400</v>
      </c>
      <c r="D36" s="9">
        <v>2600</v>
      </c>
      <c r="E36" s="2" t="s">
        <v>49</v>
      </c>
      <c r="F36" s="10">
        <v>241.08</v>
      </c>
      <c r="G36" s="11">
        <f>(R_C)*241.08</f>
        <v>241.08</v>
      </c>
    </row>
    <row r="37" spans="1:7" x14ac:dyDescent="0.2">
      <c r="A37" s="8" t="s">
        <v>50</v>
      </c>
      <c r="B37" s="8">
        <v>11</v>
      </c>
      <c r="C37" s="8">
        <v>400</v>
      </c>
      <c r="D37" s="9">
        <v>3000</v>
      </c>
      <c r="E37" s="2" t="s">
        <v>51</v>
      </c>
      <c r="F37" s="10">
        <v>272.73</v>
      </c>
      <c r="G37" s="11">
        <f>(R_C)*272.73</f>
        <v>272.73</v>
      </c>
    </row>
    <row r="38" spans="1:7" x14ac:dyDescent="0.2">
      <c r="A38" s="8" t="s">
        <v>52</v>
      </c>
      <c r="B38" s="8">
        <v>11</v>
      </c>
      <c r="C38" s="8">
        <v>500</v>
      </c>
      <c r="D38" s="9">
        <v>400</v>
      </c>
      <c r="E38" s="2" t="s">
        <v>53</v>
      </c>
      <c r="F38" s="10">
        <v>80.010000000000005</v>
      </c>
      <c r="G38" s="11">
        <f>(R_C)*80.01</f>
        <v>80.010000000000005</v>
      </c>
    </row>
    <row r="39" spans="1:7" x14ac:dyDescent="0.2">
      <c r="A39" s="8" t="s">
        <v>54</v>
      </c>
      <c r="B39" s="8">
        <v>11</v>
      </c>
      <c r="C39" s="8">
        <v>500</v>
      </c>
      <c r="D39" s="9">
        <v>500</v>
      </c>
      <c r="E39" s="2" t="s">
        <v>55</v>
      </c>
      <c r="F39" s="10">
        <v>86.69</v>
      </c>
      <c r="G39" s="11">
        <f>(R_C)*86.69</f>
        <v>86.69</v>
      </c>
    </row>
    <row r="40" spans="1:7" x14ac:dyDescent="0.2">
      <c r="A40" s="8" t="s">
        <v>56</v>
      </c>
      <c r="B40" s="8">
        <v>11</v>
      </c>
      <c r="C40" s="8">
        <v>500</v>
      </c>
      <c r="D40" s="9">
        <v>600</v>
      </c>
      <c r="E40" s="2" t="s">
        <v>57</v>
      </c>
      <c r="F40" s="10">
        <v>94.01</v>
      </c>
      <c r="G40" s="11">
        <f>(R_C)*94.01</f>
        <v>94.01</v>
      </c>
    </row>
    <row r="41" spans="1:7" x14ac:dyDescent="0.2">
      <c r="A41" s="8" t="s">
        <v>58</v>
      </c>
      <c r="B41" s="8">
        <v>11</v>
      </c>
      <c r="C41" s="8">
        <v>500</v>
      </c>
      <c r="D41" s="9">
        <v>800</v>
      </c>
      <c r="E41" s="2" t="s">
        <v>59</v>
      </c>
      <c r="F41" s="10">
        <v>107.72</v>
      </c>
      <c r="G41" s="11">
        <f>(R_C)*107.72</f>
        <v>107.72</v>
      </c>
    </row>
    <row r="42" spans="1:7" x14ac:dyDescent="0.2">
      <c r="A42" s="8" t="s">
        <v>60</v>
      </c>
      <c r="B42" s="8">
        <v>11</v>
      </c>
      <c r="C42" s="8">
        <v>500</v>
      </c>
      <c r="D42" s="9">
        <v>1000</v>
      </c>
      <c r="E42" s="2" t="s">
        <v>61</v>
      </c>
      <c r="F42" s="10">
        <v>124.22</v>
      </c>
      <c r="G42" s="11">
        <f>(R_C)*124.22</f>
        <v>124.22</v>
      </c>
    </row>
    <row r="43" spans="1:7" x14ac:dyDescent="0.2">
      <c r="A43" s="8" t="s">
        <v>62</v>
      </c>
      <c r="B43" s="8">
        <v>11</v>
      </c>
      <c r="C43" s="8">
        <v>500</v>
      </c>
      <c r="D43" s="9">
        <v>1200</v>
      </c>
      <c r="E43" s="2" t="s">
        <v>63</v>
      </c>
      <c r="F43" s="10">
        <v>141.47</v>
      </c>
      <c r="G43" s="11">
        <f>(R_C)*141.47</f>
        <v>141.47</v>
      </c>
    </row>
    <row r="44" spans="1:7" x14ac:dyDescent="0.2">
      <c r="A44" s="8" t="s">
        <v>64</v>
      </c>
      <c r="B44" s="8">
        <v>11</v>
      </c>
      <c r="C44" s="8">
        <v>500</v>
      </c>
      <c r="D44" s="9">
        <v>1400</v>
      </c>
      <c r="E44" s="2" t="s">
        <v>65</v>
      </c>
      <c r="F44" s="10">
        <v>158.66</v>
      </c>
      <c r="G44" s="11">
        <f>(R_C)*158.66</f>
        <v>158.66</v>
      </c>
    </row>
    <row r="45" spans="1:7" x14ac:dyDescent="0.2">
      <c r="A45" s="8" t="s">
        <v>66</v>
      </c>
      <c r="B45" s="8">
        <v>11</v>
      </c>
      <c r="C45" s="8">
        <v>500</v>
      </c>
      <c r="D45" s="9">
        <v>1600</v>
      </c>
      <c r="E45" s="2" t="s">
        <v>67</v>
      </c>
      <c r="F45" s="10">
        <v>176.16</v>
      </c>
      <c r="G45" s="11">
        <f>(R_C)*176.16</f>
        <v>176.16</v>
      </c>
    </row>
    <row r="46" spans="1:7" x14ac:dyDescent="0.2">
      <c r="A46" s="8" t="s">
        <v>68</v>
      </c>
      <c r="B46" s="8">
        <v>11</v>
      </c>
      <c r="C46" s="8">
        <v>500</v>
      </c>
      <c r="D46" s="9">
        <v>1800</v>
      </c>
      <c r="E46" s="2" t="s">
        <v>69</v>
      </c>
      <c r="F46" s="10">
        <v>193.39</v>
      </c>
      <c r="G46" s="11">
        <f>(R_C)*193.39</f>
        <v>193.39</v>
      </c>
    </row>
    <row r="47" spans="1:7" x14ac:dyDescent="0.2">
      <c r="A47" s="8" t="s">
        <v>70</v>
      </c>
      <c r="B47" s="8">
        <v>11</v>
      </c>
      <c r="C47" s="8">
        <v>500</v>
      </c>
      <c r="D47" s="9">
        <v>2000</v>
      </c>
      <c r="E47" s="2" t="s">
        <v>71</v>
      </c>
      <c r="F47" s="10">
        <v>211.62</v>
      </c>
      <c r="G47" s="11">
        <f>(R_C)*211.62</f>
        <v>211.62</v>
      </c>
    </row>
    <row r="48" spans="1:7" x14ac:dyDescent="0.2">
      <c r="A48" s="8" t="s">
        <v>72</v>
      </c>
      <c r="B48" s="8">
        <v>11</v>
      </c>
      <c r="C48" s="8">
        <v>500</v>
      </c>
      <c r="D48" s="9">
        <v>2300</v>
      </c>
      <c r="E48" s="2" t="s">
        <v>73</v>
      </c>
      <c r="F48" s="10">
        <v>237.28</v>
      </c>
      <c r="G48" s="11">
        <f>(R_C)*237.28</f>
        <v>237.28</v>
      </c>
    </row>
    <row r="49" spans="1:7" x14ac:dyDescent="0.2">
      <c r="A49" s="8" t="s">
        <v>74</v>
      </c>
      <c r="B49" s="8">
        <v>11</v>
      </c>
      <c r="C49" s="8">
        <v>500</v>
      </c>
      <c r="D49" s="9">
        <v>2600</v>
      </c>
      <c r="E49" s="2" t="s">
        <v>75</v>
      </c>
      <c r="F49" s="10">
        <v>264.29000000000002</v>
      </c>
      <c r="G49" s="11">
        <f>(R_C)*264.29</f>
        <v>264.29000000000002</v>
      </c>
    </row>
    <row r="50" spans="1:7" x14ac:dyDescent="0.2">
      <c r="A50" s="8" t="s">
        <v>76</v>
      </c>
      <c r="B50" s="8">
        <v>11</v>
      </c>
      <c r="C50" s="8">
        <v>500</v>
      </c>
      <c r="D50" s="9">
        <v>3000</v>
      </c>
      <c r="E50" s="2" t="s">
        <v>77</v>
      </c>
      <c r="F50" s="10">
        <v>299.41000000000003</v>
      </c>
      <c r="G50" s="11">
        <f>(R_C)*299.41</f>
        <v>299.41000000000003</v>
      </c>
    </row>
    <row r="51" spans="1:7" x14ac:dyDescent="0.2">
      <c r="A51" s="8" t="s">
        <v>78</v>
      </c>
      <c r="B51" s="8">
        <v>11</v>
      </c>
      <c r="C51" s="8">
        <v>600</v>
      </c>
      <c r="D51" s="9">
        <v>400</v>
      </c>
      <c r="E51" s="2" t="s">
        <v>79</v>
      </c>
      <c r="F51" s="10">
        <v>93.75</v>
      </c>
      <c r="G51" s="11">
        <f>(R_C)*93.75</f>
        <v>93.75</v>
      </c>
    </row>
    <row r="52" spans="1:7" x14ac:dyDescent="0.2">
      <c r="A52" s="8" t="s">
        <v>80</v>
      </c>
      <c r="B52" s="8">
        <v>11</v>
      </c>
      <c r="C52" s="8">
        <v>600</v>
      </c>
      <c r="D52" s="9">
        <v>500</v>
      </c>
      <c r="E52" s="2" t="s">
        <v>81</v>
      </c>
      <c r="F52" s="10">
        <v>96.14</v>
      </c>
      <c r="G52" s="11">
        <f>(R_C)*96.14</f>
        <v>96.14</v>
      </c>
    </row>
    <row r="53" spans="1:7" x14ac:dyDescent="0.2">
      <c r="A53" s="8" t="s">
        <v>82</v>
      </c>
      <c r="B53" s="8">
        <v>11</v>
      </c>
      <c r="C53" s="8">
        <v>600</v>
      </c>
      <c r="D53" s="9">
        <v>600</v>
      </c>
      <c r="E53" s="2" t="s">
        <v>83</v>
      </c>
      <c r="F53" s="10">
        <v>103.48</v>
      </c>
      <c r="G53" s="11">
        <f>(R_C)*103.48</f>
        <v>103.48</v>
      </c>
    </row>
    <row r="54" spans="1:7" x14ac:dyDescent="0.2">
      <c r="A54" s="8" t="s">
        <v>84</v>
      </c>
      <c r="B54" s="8">
        <v>11</v>
      </c>
      <c r="C54" s="8">
        <v>600</v>
      </c>
      <c r="D54" s="9">
        <v>800</v>
      </c>
      <c r="E54" s="2" t="s">
        <v>85</v>
      </c>
      <c r="F54" s="10">
        <v>118.28</v>
      </c>
      <c r="G54" s="11">
        <f>(R_C)*118.28</f>
        <v>118.28</v>
      </c>
    </row>
    <row r="55" spans="1:7" x14ac:dyDescent="0.2">
      <c r="A55" s="8" t="s">
        <v>86</v>
      </c>
      <c r="B55" s="8">
        <v>11</v>
      </c>
      <c r="C55" s="8">
        <v>600</v>
      </c>
      <c r="D55" s="9">
        <v>1000</v>
      </c>
      <c r="E55" s="2" t="s">
        <v>87</v>
      </c>
      <c r="F55" s="10">
        <v>133.4</v>
      </c>
      <c r="G55" s="11">
        <f>(R_C)*133.4</f>
        <v>133.4</v>
      </c>
    </row>
    <row r="56" spans="1:7" x14ac:dyDescent="0.2">
      <c r="A56" s="8" t="s">
        <v>88</v>
      </c>
      <c r="B56" s="8">
        <v>11</v>
      </c>
      <c r="C56" s="8">
        <v>600</v>
      </c>
      <c r="D56" s="9">
        <v>1200</v>
      </c>
      <c r="E56" s="2" t="s">
        <v>89</v>
      </c>
      <c r="F56" s="10">
        <v>152.01</v>
      </c>
      <c r="G56" s="11">
        <f>(R_C)*152.01</f>
        <v>152.01</v>
      </c>
    </row>
    <row r="57" spans="1:7" x14ac:dyDescent="0.2">
      <c r="A57" s="8" t="s">
        <v>90</v>
      </c>
      <c r="B57" s="8">
        <v>11</v>
      </c>
      <c r="C57" s="8">
        <v>600</v>
      </c>
      <c r="D57" s="9">
        <v>1400</v>
      </c>
      <c r="E57" s="2" t="s">
        <v>91</v>
      </c>
      <c r="F57" s="10">
        <v>170.51</v>
      </c>
      <c r="G57" s="11">
        <f>(R_C)*170.51</f>
        <v>170.51</v>
      </c>
    </row>
    <row r="58" spans="1:7" x14ac:dyDescent="0.2">
      <c r="A58" s="8" t="s">
        <v>92</v>
      </c>
      <c r="B58" s="8">
        <v>11</v>
      </c>
      <c r="C58" s="8">
        <v>600</v>
      </c>
      <c r="D58" s="9">
        <v>1600</v>
      </c>
      <c r="E58" s="2" t="s">
        <v>93</v>
      </c>
      <c r="F58" s="10">
        <v>195.1</v>
      </c>
      <c r="G58" s="11">
        <f>(R_C)*195.1</f>
        <v>195.1</v>
      </c>
    </row>
    <row r="59" spans="1:7" x14ac:dyDescent="0.2">
      <c r="A59" s="8" t="s">
        <v>94</v>
      </c>
      <c r="B59" s="8">
        <v>11</v>
      </c>
      <c r="C59" s="8">
        <v>600</v>
      </c>
      <c r="D59" s="9">
        <v>1800</v>
      </c>
      <c r="E59" s="2" t="s">
        <v>95</v>
      </c>
      <c r="F59" s="10">
        <v>218.22</v>
      </c>
      <c r="G59" s="11">
        <f>(R_C)*218.22</f>
        <v>218.22</v>
      </c>
    </row>
    <row r="60" spans="1:7" x14ac:dyDescent="0.2">
      <c r="A60" s="8" t="s">
        <v>96</v>
      </c>
      <c r="B60" s="8">
        <v>11</v>
      </c>
      <c r="C60" s="8">
        <v>600</v>
      </c>
      <c r="D60" s="9">
        <v>2000</v>
      </c>
      <c r="E60" s="2" t="s">
        <v>97</v>
      </c>
      <c r="F60" s="10">
        <v>235.46</v>
      </c>
      <c r="G60" s="11">
        <f>(R_C)*235.46</f>
        <v>235.46</v>
      </c>
    </row>
    <row r="61" spans="1:7" x14ac:dyDescent="0.2">
      <c r="A61" s="8" t="s">
        <v>98</v>
      </c>
      <c r="B61" s="8">
        <v>11</v>
      </c>
      <c r="C61" s="8">
        <v>600</v>
      </c>
      <c r="D61" s="9">
        <v>2300</v>
      </c>
      <c r="E61" s="2" t="s">
        <v>99</v>
      </c>
      <c r="F61" s="10">
        <v>264.68</v>
      </c>
      <c r="G61" s="11">
        <f>(R_C)*264.68</f>
        <v>264.68</v>
      </c>
    </row>
    <row r="62" spans="1:7" x14ac:dyDescent="0.2">
      <c r="A62" s="8" t="s">
        <v>100</v>
      </c>
      <c r="B62" s="8">
        <v>11</v>
      </c>
      <c r="C62" s="8">
        <v>600</v>
      </c>
      <c r="D62" s="9">
        <v>2600</v>
      </c>
      <c r="E62" s="2" t="s">
        <v>101</v>
      </c>
      <c r="F62" s="10">
        <v>298.98</v>
      </c>
      <c r="G62" s="11">
        <f>(R_C)*298.98</f>
        <v>298.98</v>
      </c>
    </row>
    <row r="63" spans="1:7" x14ac:dyDescent="0.2">
      <c r="A63" s="8" t="s">
        <v>102</v>
      </c>
      <c r="B63" s="8">
        <v>11</v>
      </c>
      <c r="C63" s="8">
        <v>600</v>
      </c>
      <c r="D63" s="9">
        <v>3000</v>
      </c>
      <c r="E63" s="2" t="s">
        <v>103</v>
      </c>
      <c r="F63" s="10">
        <v>333.71</v>
      </c>
      <c r="G63" s="11">
        <f>(R_C)*333.71</f>
        <v>333.71</v>
      </c>
    </row>
    <row r="64" spans="1:7" x14ac:dyDescent="0.2">
      <c r="A64" s="8" t="s">
        <v>104</v>
      </c>
      <c r="B64" s="8">
        <v>11</v>
      </c>
      <c r="C64" s="8">
        <v>900</v>
      </c>
      <c r="D64" s="9">
        <v>400</v>
      </c>
      <c r="E64" s="2" t="s">
        <v>105</v>
      </c>
      <c r="F64" s="10">
        <v>106.69</v>
      </c>
      <c r="G64" s="11">
        <f>(R_C)*106.69</f>
        <v>106.69</v>
      </c>
    </row>
    <row r="65" spans="1:7" x14ac:dyDescent="0.2">
      <c r="A65" s="8" t="s">
        <v>106</v>
      </c>
      <c r="B65" s="8">
        <v>11</v>
      </c>
      <c r="C65" s="8">
        <v>900</v>
      </c>
      <c r="D65" s="9">
        <v>500</v>
      </c>
      <c r="E65" s="2" t="s">
        <v>107</v>
      </c>
      <c r="F65" s="10">
        <v>117.87</v>
      </c>
      <c r="G65" s="11">
        <f>(R_C)*117.87</f>
        <v>117.87</v>
      </c>
    </row>
    <row r="66" spans="1:7" x14ac:dyDescent="0.2">
      <c r="A66" s="8" t="s">
        <v>108</v>
      </c>
      <c r="B66" s="8">
        <v>11</v>
      </c>
      <c r="C66" s="8">
        <v>900</v>
      </c>
      <c r="D66" s="9">
        <v>600</v>
      </c>
      <c r="E66" s="2" t="s">
        <v>109</v>
      </c>
      <c r="F66" s="10">
        <v>129.16999999999999</v>
      </c>
      <c r="G66" s="11">
        <f>(R_C)*129.17</f>
        <v>129.16999999999999</v>
      </c>
    </row>
    <row r="67" spans="1:7" x14ac:dyDescent="0.2">
      <c r="A67" s="8" t="s">
        <v>110</v>
      </c>
      <c r="B67" s="8">
        <v>11</v>
      </c>
      <c r="C67" s="8">
        <v>900</v>
      </c>
      <c r="D67" s="9">
        <v>800</v>
      </c>
      <c r="E67" s="2" t="s">
        <v>111</v>
      </c>
      <c r="F67" s="10">
        <v>151.31</v>
      </c>
      <c r="G67" s="11">
        <f>(R_C)*151.31</f>
        <v>151.31</v>
      </c>
    </row>
    <row r="68" spans="1:7" x14ac:dyDescent="0.2">
      <c r="A68" s="8" t="s">
        <v>112</v>
      </c>
      <c r="B68" s="8">
        <v>11</v>
      </c>
      <c r="C68" s="8">
        <v>900</v>
      </c>
      <c r="D68" s="9">
        <v>1000</v>
      </c>
      <c r="E68" s="2" t="s">
        <v>113</v>
      </c>
      <c r="F68" s="10">
        <v>175.49</v>
      </c>
      <c r="G68" s="11">
        <f>(R_C)*175.49</f>
        <v>175.49</v>
      </c>
    </row>
    <row r="69" spans="1:7" x14ac:dyDescent="0.2">
      <c r="A69" s="8" t="s">
        <v>114</v>
      </c>
      <c r="B69" s="8">
        <v>11</v>
      </c>
      <c r="C69" s="8">
        <v>900</v>
      </c>
      <c r="D69" s="9">
        <v>1200</v>
      </c>
      <c r="E69" s="2" t="s">
        <v>115</v>
      </c>
      <c r="F69" s="10">
        <v>203.55</v>
      </c>
      <c r="G69" s="11">
        <f>(R_C)*203.55</f>
        <v>203.55</v>
      </c>
    </row>
    <row r="70" spans="1:7" x14ac:dyDescent="0.2">
      <c r="A70" s="8" t="s">
        <v>116</v>
      </c>
      <c r="B70" s="8">
        <v>11</v>
      </c>
      <c r="C70" s="8">
        <v>900</v>
      </c>
      <c r="D70" s="9">
        <v>1400</v>
      </c>
      <c r="E70" s="2" t="s">
        <v>117</v>
      </c>
      <c r="F70" s="10">
        <v>232.63</v>
      </c>
      <c r="G70" s="11">
        <f>(R_C)*232.63</f>
        <v>232.63</v>
      </c>
    </row>
    <row r="71" spans="1:7" x14ac:dyDescent="0.2">
      <c r="A71" s="8" t="s">
        <v>118</v>
      </c>
      <c r="B71" s="8">
        <v>11</v>
      </c>
      <c r="C71" s="8">
        <v>900</v>
      </c>
      <c r="D71" s="9">
        <v>1600</v>
      </c>
      <c r="E71" s="2" t="s">
        <v>119</v>
      </c>
      <c r="F71" s="10">
        <v>261.44</v>
      </c>
      <c r="G71" s="11">
        <f>(R_C)*261.44</f>
        <v>261.44</v>
      </c>
    </row>
    <row r="72" spans="1:7" x14ac:dyDescent="0.2">
      <c r="A72" s="8" t="s">
        <v>120</v>
      </c>
      <c r="B72" s="8">
        <v>11</v>
      </c>
      <c r="C72" s="8">
        <v>900</v>
      </c>
      <c r="D72" s="9">
        <v>1800</v>
      </c>
      <c r="E72" s="2" t="s">
        <v>121</v>
      </c>
      <c r="F72" s="10">
        <v>291.63</v>
      </c>
      <c r="G72" s="11">
        <f>(R_C)*291.63</f>
        <v>291.63</v>
      </c>
    </row>
    <row r="73" spans="1:7" x14ac:dyDescent="0.2">
      <c r="A73" s="8" t="s">
        <v>122</v>
      </c>
      <c r="B73" s="8">
        <v>11</v>
      </c>
      <c r="C73" s="8">
        <v>900</v>
      </c>
      <c r="D73" s="9">
        <v>2000</v>
      </c>
      <c r="E73" s="2" t="s">
        <v>123</v>
      </c>
      <c r="F73" s="10">
        <v>319.73</v>
      </c>
      <c r="G73" s="11">
        <f>(R_C)*319.73</f>
        <v>319.73</v>
      </c>
    </row>
    <row r="74" spans="1:7" x14ac:dyDescent="0.2">
      <c r="A74" s="8" t="s">
        <v>124</v>
      </c>
      <c r="B74" s="8">
        <v>21</v>
      </c>
      <c r="C74" s="8">
        <v>300</v>
      </c>
      <c r="D74" s="9">
        <v>400</v>
      </c>
      <c r="E74" s="2" t="s">
        <v>125</v>
      </c>
      <c r="F74" s="10">
        <v>90.93</v>
      </c>
      <c r="G74" s="11">
        <f>(R_C)*90.93</f>
        <v>90.93</v>
      </c>
    </row>
    <row r="75" spans="1:7" x14ac:dyDescent="0.2">
      <c r="A75" s="8" t="s">
        <v>126</v>
      </c>
      <c r="B75" s="8">
        <v>21</v>
      </c>
      <c r="C75" s="8">
        <v>300</v>
      </c>
      <c r="D75" s="9">
        <v>500</v>
      </c>
      <c r="E75" s="2" t="s">
        <v>127</v>
      </c>
      <c r="F75" s="10">
        <v>102.74</v>
      </c>
      <c r="G75" s="11">
        <f>(R_C)*102.74</f>
        <v>102.74</v>
      </c>
    </row>
    <row r="76" spans="1:7" x14ac:dyDescent="0.2">
      <c r="A76" s="8" t="s">
        <v>128</v>
      </c>
      <c r="B76" s="8">
        <v>21</v>
      </c>
      <c r="C76" s="8">
        <v>300</v>
      </c>
      <c r="D76" s="9">
        <v>600</v>
      </c>
      <c r="E76" s="2" t="s">
        <v>129</v>
      </c>
      <c r="F76" s="10">
        <v>112.36</v>
      </c>
      <c r="G76" s="11">
        <f>(R_C)*112.36</f>
        <v>112.36</v>
      </c>
    </row>
    <row r="77" spans="1:7" x14ac:dyDescent="0.2">
      <c r="A77" s="8" t="s">
        <v>130</v>
      </c>
      <c r="B77" s="8">
        <v>21</v>
      </c>
      <c r="C77" s="8">
        <v>300</v>
      </c>
      <c r="D77" s="9">
        <v>800</v>
      </c>
      <c r="E77" s="2" t="s">
        <v>131</v>
      </c>
      <c r="F77" s="10">
        <v>133.4</v>
      </c>
      <c r="G77" s="11">
        <f>(R_C)*133.4</f>
        <v>133.4</v>
      </c>
    </row>
    <row r="78" spans="1:7" x14ac:dyDescent="0.2">
      <c r="A78" s="8" t="s">
        <v>132</v>
      </c>
      <c r="B78" s="8">
        <v>21</v>
      </c>
      <c r="C78" s="8">
        <v>300</v>
      </c>
      <c r="D78" s="9">
        <v>1000</v>
      </c>
      <c r="E78" s="2" t="s">
        <v>133</v>
      </c>
      <c r="F78" s="10">
        <v>154.41999999999999</v>
      </c>
      <c r="G78" s="11">
        <f>(R_C)*154.42</f>
        <v>154.41999999999999</v>
      </c>
    </row>
    <row r="79" spans="1:7" x14ac:dyDescent="0.2">
      <c r="A79" s="8" t="s">
        <v>134</v>
      </c>
      <c r="B79" s="8">
        <v>21</v>
      </c>
      <c r="C79" s="8">
        <v>300</v>
      </c>
      <c r="D79" s="9">
        <v>1200</v>
      </c>
      <c r="E79" s="2" t="s">
        <v>135</v>
      </c>
      <c r="F79" s="10">
        <v>175.16</v>
      </c>
      <c r="G79" s="11">
        <f>(R_C)*175.16</f>
        <v>175.16</v>
      </c>
    </row>
    <row r="80" spans="1:7" x14ac:dyDescent="0.2">
      <c r="A80" s="8" t="s">
        <v>136</v>
      </c>
      <c r="B80" s="8">
        <v>21</v>
      </c>
      <c r="C80" s="8">
        <v>300</v>
      </c>
      <c r="D80" s="9">
        <v>1400</v>
      </c>
      <c r="E80" s="2" t="s">
        <v>137</v>
      </c>
      <c r="F80" s="10">
        <v>195.75</v>
      </c>
      <c r="G80" s="11">
        <f>(R_C)*195.75</f>
        <v>195.75</v>
      </c>
    </row>
    <row r="81" spans="1:7" x14ac:dyDescent="0.2">
      <c r="A81" s="8" t="s">
        <v>138</v>
      </c>
      <c r="B81" s="8">
        <v>21</v>
      </c>
      <c r="C81" s="8">
        <v>300</v>
      </c>
      <c r="D81" s="9">
        <v>1600</v>
      </c>
      <c r="E81" s="2" t="s">
        <v>139</v>
      </c>
      <c r="F81" s="10">
        <v>216.53</v>
      </c>
      <c r="G81" s="11">
        <f>(R_C)*216.53</f>
        <v>216.53</v>
      </c>
    </row>
    <row r="82" spans="1:7" x14ac:dyDescent="0.2">
      <c r="A82" s="8" t="s">
        <v>140</v>
      </c>
      <c r="B82" s="8">
        <v>21</v>
      </c>
      <c r="C82" s="8">
        <v>300</v>
      </c>
      <c r="D82" s="9">
        <v>1800</v>
      </c>
      <c r="E82" s="2" t="s">
        <v>141</v>
      </c>
      <c r="F82" s="10">
        <v>237.28</v>
      </c>
      <c r="G82" s="11">
        <f>(R_C)*237.28</f>
        <v>237.28</v>
      </c>
    </row>
    <row r="83" spans="1:7" x14ac:dyDescent="0.2">
      <c r="A83" s="8" t="s">
        <v>142</v>
      </c>
      <c r="B83" s="8">
        <v>21</v>
      </c>
      <c r="C83" s="8">
        <v>300</v>
      </c>
      <c r="D83" s="9">
        <v>2000</v>
      </c>
      <c r="E83" s="2" t="s">
        <v>143</v>
      </c>
      <c r="F83" s="10">
        <v>257.63</v>
      </c>
      <c r="G83" s="11">
        <f>(R_C)*257.63</f>
        <v>257.63</v>
      </c>
    </row>
    <row r="84" spans="1:7" x14ac:dyDescent="0.2">
      <c r="A84" s="8" t="s">
        <v>144</v>
      </c>
      <c r="B84" s="8">
        <v>21</v>
      </c>
      <c r="C84" s="8">
        <v>300</v>
      </c>
      <c r="D84" s="9">
        <v>2300</v>
      </c>
      <c r="E84" s="2" t="s">
        <v>145</v>
      </c>
      <c r="F84" s="10">
        <v>289.24</v>
      </c>
      <c r="G84" s="11">
        <f>(R_C)*289.24</f>
        <v>289.24</v>
      </c>
    </row>
    <row r="85" spans="1:7" x14ac:dyDescent="0.2">
      <c r="A85" s="8" t="s">
        <v>146</v>
      </c>
      <c r="B85" s="8">
        <v>21</v>
      </c>
      <c r="C85" s="8">
        <v>300</v>
      </c>
      <c r="D85" s="9">
        <v>2600</v>
      </c>
      <c r="E85" s="2" t="s">
        <v>147</v>
      </c>
      <c r="F85" s="10">
        <v>320.43</v>
      </c>
      <c r="G85" s="11">
        <f>(R_C)*320.43</f>
        <v>320.43</v>
      </c>
    </row>
    <row r="86" spans="1:7" x14ac:dyDescent="0.2">
      <c r="A86" s="8" t="s">
        <v>148</v>
      </c>
      <c r="B86" s="8">
        <v>21</v>
      </c>
      <c r="C86" s="8">
        <v>300</v>
      </c>
      <c r="D86" s="9">
        <v>3000</v>
      </c>
      <c r="E86" s="2" t="s">
        <v>149</v>
      </c>
      <c r="F86" s="10">
        <v>361.8</v>
      </c>
      <c r="G86" s="11">
        <f>(R_C)*361.8</f>
        <v>361.8</v>
      </c>
    </row>
    <row r="87" spans="1:7" x14ac:dyDescent="0.2">
      <c r="A87" s="8" t="s">
        <v>150</v>
      </c>
      <c r="B87" s="8">
        <v>21</v>
      </c>
      <c r="C87" s="8">
        <v>400</v>
      </c>
      <c r="D87" s="9">
        <v>400</v>
      </c>
      <c r="E87" s="2" t="s">
        <v>151</v>
      </c>
      <c r="F87" s="10">
        <v>95.39</v>
      </c>
      <c r="G87" s="11">
        <f>(R_C)*95.39</f>
        <v>95.39</v>
      </c>
    </row>
    <row r="88" spans="1:7" x14ac:dyDescent="0.2">
      <c r="A88" s="8" t="s">
        <v>152</v>
      </c>
      <c r="B88" s="8">
        <v>21</v>
      </c>
      <c r="C88" s="8">
        <v>400</v>
      </c>
      <c r="D88" s="9">
        <v>500</v>
      </c>
      <c r="E88" s="2" t="s">
        <v>153</v>
      </c>
      <c r="F88" s="10">
        <v>108.13</v>
      </c>
      <c r="G88" s="11">
        <f>(R_C)*108.13</f>
        <v>108.13</v>
      </c>
    </row>
    <row r="89" spans="1:7" x14ac:dyDescent="0.2">
      <c r="A89" s="8" t="s">
        <v>154</v>
      </c>
      <c r="B89" s="8">
        <v>21</v>
      </c>
      <c r="C89" s="8">
        <v>400</v>
      </c>
      <c r="D89" s="9">
        <v>600</v>
      </c>
      <c r="E89" s="2" t="s">
        <v>155</v>
      </c>
      <c r="F89" s="10">
        <v>120.4</v>
      </c>
      <c r="G89" s="11">
        <f>(R_C)*120.4</f>
        <v>120.4</v>
      </c>
    </row>
    <row r="90" spans="1:7" x14ac:dyDescent="0.2">
      <c r="A90" s="8" t="s">
        <v>156</v>
      </c>
      <c r="B90" s="8">
        <v>21</v>
      </c>
      <c r="C90" s="8">
        <v>400</v>
      </c>
      <c r="D90" s="9">
        <v>800</v>
      </c>
      <c r="E90" s="2" t="s">
        <v>157</v>
      </c>
      <c r="F90" s="10">
        <v>145.97</v>
      </c>
      <c r="G90" s="11">
        <f>(R_C)*145.97</f>
        <v>145.97</v>
      </c>
    </row>
    <row r="91" spans="1:7" x14ac:dyDescent="0.2">
      <c r="A91" s="8" t="s">
        <v>158</v>
      </c>
      <c r="B91" s="8">
        <v>21</v>
      </c>
      <c r="C91" s="8">
        <v>400</v>
      </c>
      <c r="D91" s="9">
        <v>1000</v>
      </c>
      <c r="E91" s="2" t="s">
        <v>159</v>
      </c>
      <c r="F91" s="10">
        <v>170.51</v>
      </c>
      <c r="G91" s="11">
        <f>(R_C)*170.51</f>
        <v>170.51</v>
      </c>
    </row>
    <row r="92" spans="1:7" x14ac:dyDescent="0.2">
      <c r="A92" s="8" t="s">
        <v>160</v>
      </c>
      <c r="B92" s="8">
        <v>21</v>
      </c>
      <c r="C92" s="8">
        <v>400</v>
      </c>
      <c r="D92" s="9">
        <v>1200</v>
      </c>
      <c r="E92" s="2" t="s">
        <v>161</v>
      </c>
      <c r="F92" s="10">
        <v>196.23</v>
      </c>
      <c r="G92" s="11">
        <f>(R_C)*196.23</f>
        <v>196.23</v>
      </c>
    </row>
    <row r="93" spans="1:7" x14ac:dyDescent="0.2">
      <c r="A93" s="8" t="s">
        <v>162</v>
      </c>
      <c r="B93" s="8">
        <v>21</v>
      </c>
      <c r="C93" s="8">
        <v>400</v>
      </c>
      <c r="D93" s="9">
        <v>1400</v>
      </c>
      <c r="E93" s="2" t="s">
        <v>163</v>
      </c>
      <c r="F93" s="10">
        <v>221.07</v>
      </c>
      <c r="G93" s="11">
        <f>(R_C)*221.07</f>
        <v>221.07</v>
      </c>
    </row>
    <row r="94" spans="1:7" x14ac:dyDescent="0.2">
      <c r="A94" s="8" t="s">
        <v>164</v>
      </c>
      <c r="B94" s="8">
        <v>21</v>
      </c>
      <c r="C94" s="8">
        <v>400</v>
      </c>
      <c r="D94" s="9">
        <v>1600</v>
      </c>
      <c r="E94" s="2" t="s">
        <v>165</v>
      </c>
      <c r="F94" s="10">
        <v>246.05</v>
      </c>
      <c r="G94" s="11">
        <f>(R_C)*246.05</f>
        <v>246.05</v>
      </c>
    </row>
    <row r="95" spans="1:7" x14ac:dyDescent="0.2">
      <c r="A95" s="8" t="s">
        <v>166</v>
      </c>
      <c r="B95" s="8">
        <v>21</v>
      </c>
      <c r="C95" s="8">
        <v>400</v>
      </c>
      <c r="D95" s="9">
        <v>1800</v>
      </c>
      <c r="E95" s="2" t="s">
        <v>167</v>
      </c>
      <c r="F95" s="10">
        <v>271.62</v>
      </c>
      <c r="G95" s="11">
        <f>(R_C)*271.62</f>
        <v>271.62</v>
      </c>
    </row>
    <row r="96" spans="1:7" x14ac:dyDescent="0.2">
      <c r="A96" s="8" t="s">
        <v>168</v>
      </c>
      <c r="B96" s="8">
        <v>21</v>
      </c>
      <c r="C96" s="8">
        <v>400</v>
      </c>
      <c r="D96" s="9">
        <v>2000</v>
      </c>
      <c r="E96" s="2" t="s">
        <v>169</v>
      </c>
      <c r="F96" s="10">
        <v>296.13</v>
      </c>
      <c r="G96" s="11">
        <f>(R_C)*296.13</f>
        <v>296.13</v>
      </c>
    </row>
    <row r="97" spans="1:7" x14ac:dyDescent="0.2">
      <c r="A97" s="8" t="s">
        <v>170</v>
      </c>
      <c r="B97" s="8">
        <v>21</v>
      </c>
      <c r="C97" s="8">
        <v>400</v>
      </c>
      <c r="D97" s="9">
        <v>2300</v>
      </c>
      <c r="E97" s="2" t="s">
        <v>171</v>
      </c>
      <c r="F97" s="10">
        <v>334.11</v>
      </c>
      <c r="G97" s="11">
        <f>(R_C)*334.11</f>
        <v>334.11</v>
      </c>
    </row>
    <row r="98" spans="1:7" x14ac:dyDescent="0.2">
      <c r="A98" s="8" t="s">
        <v>172</v>
      </c>
      <c r="B98" s="8">
        <v>21</v>
      </c>
      <c r="C98" s="8">
        <v>400</v>
      </c>
      <c r="D98" s="9">
        <v>2600</v>
      </c>
      <c r="E98" s="2" t="s">
        <v>173</v>
      </c>
      <c r="F98" s="10">
        <v>371.67</v>
      </c>
      <c r="G98" s="11">
        <f>(R_C)*371.67</f>
        <v>371.67</v>
      </c>
    </row>
    <row r="99" spans="1:7" x14ac:dyDescent="0.2">
      <c r="A99" s="8" t="s">
        <v>174</v>
      </c>
      <c r="B99" s="8">
        <v>21</v>
      </c>
      <c r="C99" s="8">
        <v>400</v>
      </c>
      <c r="D99" s="9">
        <v>3000</v>
      </c>
      <c r="E99" s="2" t="s">
        <v>175</v>
      </c>
      <c r="F99" s="10">
        <v>422.21</v>
      </c>
      <c r="G99" s="11">
        <f>(R_C)*422.21</f>
        <v>422.21</v>
      </c>
    </row>
    <row r="100" spans="1:7" x14ac:dyDescent="0.2">
      <c r="A100" s="8" t="s">
        <v>176</v>
      </c>
      <c r="B100" s="8">
        <v>21</v>
      </c>
      <c r="C100" s="8">
        <v>500</v>
      </c>
      <c r="D100" s="9">
        <v>400</v>
      </c>
      <c r="E100" s="2" t="s">
        <v>177</v>
      </c>
      <c r="F100" s="10">
        <v>111.66</v>
      </c>
      <c r="G100" s="11">
        <f>(R_C)*111.66</f>
        <v>111.66</v>
      </c>
    </row>
    <row r="101" spans="1:7" x14ac:dyDescent="0.2">
      <c r="A101" s="8" t="s">
        <v>178</v>
      </c>
      <c r="B101" s="8">
        <v>21</v>
      </c>
      <c r="C101" s="8">
        <v>500</v>
      </c>
      <c r="D101" s="9">
        <v>500</v>
      </c>
      <c r="E101" s="2" t="s">
        <v>179</v>
      </c>
      <c r="F101" s="10">
        <v>127.04</v>
      </c>
      <c r="G101" s="11">
        <f>(R_C)*127.04</f>
        <v>127.04</v>
      </c>
    </row>
    <row r="102" spans="1:7" x14ac:dyDescent="0.2">
      <c r="A102" s="8" t="s">
        <v>180</v>
      </c>
      <c r="B102" s="8">
        <v>21</v>
      </c>
      <c r="C102" s="8">
        <v>500</v>
      </c>
      <c r="D102" s="9">
        <v>600</v>
      </c>
      <c r="E102" s="2" t="s">
        <v>181</v>
      </c>
      <c r="F102" s="10">
        <v>141.74</v>
      </c>
      <c r="G102" s="11">
        <f>(R_C)*141.74</f>
        <v>141.74</v>
      </c>
    </row>
    <row r="103" spans="1:7" x14ac:dyDescent="0.2">
      <c r="A103" s="8" t="s">
        <v>182</v>
      </c>
      <c r="B103" s="8">
        <v>21</v>
      </c>
      <c r="C103" s="8">
        <v>500</v>
      </c>
      <c r="D103" s="9">
        <v>800</v>
      </c>
      <c r="E103" s="2" t="s">
        <v>183</v>
      </c>
      <c r="F103" s="10">
        <v>172.65</v>
      </c>
      <c r="G103" s="11">
        <f>(R_C)*172.65</f>
        <v>172.65</v>
      </c>
    </row>
    <row r="104" spans="1:7" x14ac:dyDescent="0.2">
      <c r="A104" s="8" t="s">
        <v>184</v>
      </c>
      <c r="B104" s="8">
        <v>21</v>
      </c>
      <c r="C104" s="8">
        <v>500</v>
      </c>
      <c r="D104" s="9">
        <v>1000</v>
      </c>
      <c r="E104" s="2" t="s">
        <v>185</v>
      </c>
      <c r="F104" s="10">
        <v>202.82</v>
      </c>
      <c r="G104" s="11">
        <f>(R_C)*202.82</f>
        <v>202.82</v>
      </c>
    </row>
    <row r="105" spans="1:7" x14ac:dyDescent="0.2">
      <c r="A105" s="8" t="s">
        <v>186</v>
      </c>
      <c r="B105" s="8">
        <v>21</v>
      </c>
      <c r="C105" s="8">
        <v>500</v>
      </c>
      <c r="D105" s="9">
        <v>1200</v>
      </c>
      <c r="E105" s="2" t="s">
        <v>187</v>
      </c>
      <c r="F105" s="10">
        <v>233.35</v>
      </c>
      <c r="G105" s="11">
        <f>(R_C)*233.35</f>
        <v>233.35</v>
      </c>
    </row>
    <row r="106" spans="1:7" x14ac:dyDescent="0.2">
      <c r="A106" s="8" t="s">
        <v>188</v>
      </c>
      <c r="B106" s="8">
        <v>21</v>
      </c>
      <c r="C106" s="8">
        <v>500</v>
      </c>
      <c r="D106" s="9">
        <v>1400</v>
      </c>
      <c r="E106" s="2" t="s">
        <v>189</v>
      </c>
      <c r="F106" s="10">
        <v>264.29000000000002</v>
      </c>
      <c r="G106" s="11">
        <f>(R_C)*264.29</f>
        <v>264.29000000000002</v>
      </c>
    </row>
    <row r="107" spans="1:7" x14ac:dyDescent="0.2">
      <c r="A107" s="8" t="s">
        <v>190</v>
      </c>
      <c r="B107" s="8">
        <v>21</v>
      </c>
      <c r="C107" s="8">
        <v>500</v>
      </c>
      <c r="D107" s="9">
        <v>1600</v>
      </c>
      <c r="E107" s="2" t="s">
        <v>191</v>
      </c>
      <c r="F107" s="10">
        <v>294.45</v>
      </c>
      <c r="G107" s="11">
        <f>(R_C)*294.45</f>
        <v>294.45</v>
      </c>
    </row>
    <row r="108" spans="1:7" x14ac:dyDescent="0.2">
      <c r="A108" s="8" t="s">
        <v>192</v>
      </c>
      <c r="B108" s="8">
        <v>21</v>
      </c>
      <c r="C108" s="8">
        <v>500</v>
      </c>
      <c r="D108" s="9">
        <v>1800</v>
      </c>
      <c r="E108" s="2" t="s">
        <v>193</v>
      </c>
      <c r="F108" s="10">
        <v>324.95</v>
      </c>
      <c r="G108" s="11">
        <f>(R_C)*324.95</f>
        <v>324.95</v>
      </c>
    </row>
    <row r="109" spans="1:7" x14ac:dyDescent="0.2">
      <c r="A109" s="8" t="s">
        <v>194</v>
      </c>
      <c r="B109" s="8">
        <v>21</v>
      </c>
      <c r="C109" s="8">
        <v>500</v>
      </c>
      <c r="D109" s="9">
        <v>2000</v>
      </c>
      <c r="E109" s="2" t="s">
        <v>195</v>
      </c>
      <c r="F109" s="10">
        <v>355.12</v>
      </c>
      <c r="G109" s="11">
        <f>(R_C)*355.12</f>
        <v>355.12</v>
      </c>
    </row>
    <row r="110" spans="1:7" x14ac:dyDescent="0.2">
      <c r="A110" s="8" t="s">
        <v>196</v>
      </c>
      <c r="B110" s="8">
        <v>21</v>
      </c>
      <c r="C110" s="8">
        <v>500</v>
      </c>
      <c r="D110" s="9">
        <v>2300</v>
      </c>
      <c r="E110" s="2" t="s">
        <v>197</v>
      </c>
      <c r="F110" s="10">
        <v>401.89</v>
      </c>
      <c r="G110" s="11">
        <f>(R_C)*401.89</f>
        <v>401.89</v>
      </c>
    </row>
    <row r="111" spans="1:7" x14ac:dyDescent="0.2">
      <c r="A111" s="8" t="s">
        <v>198</v>
      </c>
      <c r="B111" s="8">
        <v>21</v>
      </c>
      <c r="C111" s="8">
        <v>500</v>
      </c>
      <c r="D111" s="9">
        <v>2600</v>
      </c>
      <c r="E111" s="2" t="s">
        <v>199</v>
      </c>
      <c r="F111" s="10">
        <v>447.47</v>
      </c>
      <c r="G111" s="11">
        <f>(R_C)*447.47</f>
        <v>447.47</v>
      </c>
    </row>
    <row r="112" spans="1:7" x14ac:dyDescent="0.2">
      <c r="A112" s="8" t="s">
        <v>200</v>
      </c>
      <c r="B112" s="8">
        <v>21</v>
      </c>
      <c r="C112" s="8">
        <v>500</v>
      </c>
      <c r="D112" s="9">
        <v>3000</v>
      </c>
      <c r="E112" s="2" t="s">
        <v>201</v>
      </c>
      <c r="F112" s="10">
        <v>508.16</v>
      </c>
      <c r="G112" s="11">
        <f>(R_C)*508.16</f>
        <v>508.16</v>
      </c>
    </row>
    <row r="113" spans="1:7" x14ac:dyDescent="0.2">
      <c r="A113" s="8" t="s">
        <v>202</v>
      </c>
      <c r="B113" s="8">
        <v>21</v>
      </c>
      <c r="C113" s="8">
        <v>600</v>
      </c>
      <c r="D113" s="9">
        <v>400</v>
      </c>
      <c r="E113" s="2" t="s">
        <v>203</v>
      </c>
      <c r="F113" s="10">
        <v>119.69</v>
      </c>
      <c r="G113" s="11">
        <f>(R_C)*119.69</f>
        <v>119.69</v>
      </c>
    </row>
    <row r="114" spans="1:7" x14ac:dyDescent="0.2">
      <c r="A114" s="8" t="s">
        <v>204</v>
      </c>
      <c r="B114" s="8">
        <v>21</v>
      </c>
      <c r="C114" s="8">
        <v>600</v>
      </c>
      <c r="D114" s="9">
        <v>500</v>
      </c>
      <c r="E114" s="2" t="s">
        <v>205</v>
      </c>
      <c r="F114" s="10">
        <v>135.1</v>
      </c>
      <c r="G114" s="11">
        <f>(R_C)*135.1</f>
        <v>135.1</v>
      </c>
    </row>
    <row r="115" spans="1:7" x14ac:dyDescent="0.2">
      <c r="A115" s="8" t="s">
        <v>206</v>
      </c>
      <c r="B115" s="8">
        <v>21</v>
      </c>
      <c r="C115" s="8">
        <v>600</v>
      </c>
      <c r="D115" s="9">
        <v>600</v>
      </c>
      <c r="E115" s="2" t="s">
        <v>207</v>
      </c>
      <c r="F115" s="10">
        <v>151.62</v>
      </c>
      <c r="G115" s="11">
        <f>(R_C)*151.62</f>
        <v>151.62</v>
      </c>
    </row>
    <row r="116" spans="1:7" x14ac:dyDescent="0.2">
      <c r="A116" s="8" t="s">
        <v>208</v>
      </c>
      <c r="B116" s="8">
        <v>21</v>
      </c>
      <c r="C116" s="8">
        <v>600</v>
      </c>
      <c r="D116" s="9">
        <v>800</v>
      </c>
      <c r="E116" s="2" t="s">
        <v>209</v>
      </c>
      <c r="F116" s="10">
        <v>185.34</v>
      </c>
      <c r="G116" s="11">
        <f>(R_C)*185.34</f>
        <v>185.34</v>
      </c>
    </row>
    <row r="117" spans="1:7" x14ac:dyDescent="0.2">
      <c r="A117" s="8" t="s">
        <v>210</v>
      </c>
      <c r="B117" s="8">
        <v>21</v>
      </c>
      <c r="C117" s="8">
        <v>600</v>
      </c>
      <c r="D117" s="9">
        <v>1000</v>
      </c>
      <c r="E117" s="2" t="s">
        <v>211</v>
      </c>
      <c r="F117" s="10">
        <v>219.38</v>
      </c>
      <c r="G117" s="11">
        <f>(R_C)*219.38</f>
        <v>219.38</v>
      </c>
    </row>
    <row r="118" spans="1:7" x14ac:dyDescent="0.2">
      <c r="A118" s="8" t="s">
        <v>212</v>
      </c>
      <c r="B118" s="8">
        <v>21</v>
      </c>
      <c r="C118" s="8">
        <v>600</v>
      </c>
      <c r="D118" s="9">
        <v>1200</v>
      </c>
      <c r="E118" s="2" t="s">
        <v>213</v>
      </c>
      <c r="F118" s="10">
        <v>252.66</v>
      </c>
      <c r="G118" s="11">
        <f>(R_C)*252.66</f>
        <v>252.66</v>
      </c>
    </row>
    <row r="119" spans="1:7" x14ac:dyDescent="0.2">
      <c r="A119" s="8" t="s">
        <v>214</v>
      </c>
      <c r="B119" s="8">
        <v>21</v>
      </c>
      <c r="C119" s="8">
        <v>600</v>
      </c>
      <c r="D119" s="9">
        <v>1400</v>
      </c>
      <c r="E119" s="2" t="s">
        <v>215</v>
      </c>
      <c r="F119" s="10">
        <v>286.68</v>
      </c>
      <c r="G119" s="11">
        <f>(R_C)*286.68</f>
        <v>286.68</v>
      </c>
    </row>
    <row r="120" spans="1:7" x14ac:dyDescent="0.2">
      <c r="A120" s="8" t="s">
        <v>216</v>
      </c>
      <c r="B120" s="8">
        <v>21</v>
      </c>
      <c r="C120" s="8">
        <v>600</v>
      </c>
      <c r="D120" s="9">
        <v>1600</v>
      </c>
      <c r="E120" s="2" t="s">
        <v>217</v>
      </c>
      <c r="F120" s="10">
        <v>320.43</v>
      </c>
      <c r="G120" s="11">
        <f>(R_C)*320.43</f>
        <v>320.43</v>
      </c>
    </row>
    <row r="121" spans="1:7" x14ac:dyDescent="0.2">
      <c r="A121" s="8" t="s">
        <v>218</v>
      </c>
      <c r="B121" s="8">
        <v>21</v>
      </c>
      <c r="C121" s="8">
        <v>600</v>
      </c>
      <c r="D121" s="9">
        <v>1800</v>
      </c>
      <c r="E121" s="2" t="s">
        <v>219</v>
      </c>
      <c r="F121" s="10">
        <v>354.14</v>
      </c>
      <c r="G121" s="11">
        <f>(R_C)*354.14</f>
        <v>354.14</v>
      </c>
    </row>
    <row r="122" spans="1:7" x14ac:dyDescent="0.2">
      <c r="A122" s="8" t="s">
        <v>220</v>
      </c>
      <c r="B122" s="8">
        <v>21</v>
      </c>
      <c r="C122" s="8">
        <v>600</v>
      </c>
      <c r="D122" s="9">
        <v>2000</v>
      </c>
      <c r="E122" s="2" t="s">
        <v>221</v>
      </c>
      <c r="F122" s="10">
        <v>388.15</v>
      </c>
      <c r="G122" s="11">
        <f>(R_C)*388.15</f>
        <v>388.15</v>
      </c>
    </row>
    <row r="123" spans="1:7" x14ac:dyDescent="0.2">
      <c r="A123" s="8" t="s">
        <v>222</v>
      </c>
      <c r="B123" s="8">
        <v>21</v>
      </c>
      <c r="C123" s="8">
        <v>600</v>
      </c>
      <c r="D123" s="9">
        <v>2300</v>
      </c>
      <c r="E123" s="2" t="s">
        <v>223</v>
      </c>
      <c r="F123" s="10">
        <v>438.71</v>
      </c>
      <c r="G123" s="11">
        <f>(R_C)*438.71</f>
        <v>438.71</v>
      </c>
    </row>
    <row r="124" spans="1:7" x14ac:dyDescent="0.2">
      <c r="A124" s="8" t="s">
        <v>224</v>
      </c>
      <c r="B124" s="8">
        <v>21</v>
      </c>
      <c r="C124" s="8">
        <v>600</v>
      </c>
      <c r="D124" s="9">
        <v>2600</v>
      </c>
      <c r="E124" s="2" t="s">
        <v>225</v>
      </c>
      <c r="F124" s="10">
        <v>489.98</v>
      </c>
      <c r="G124" s="11">
        <f>(R_C)*489.98</f>
        <v>489.98</v>
      </c>
    </row>
    <row r="125" spans="1:7" x14ac:dyDescent="0.2">
      <c r="A125" s="8" t="s">
        <v>226</v>
      </c>
      <c r="B125" s="8">
        <v>21</v>
      </c>
      <c r="C125" s="8">
        <v>600</v>
      </c>
      <c r="D125" s="9">
        <v>3000</v>
      </c>
      <c r="E125" s="2" t="s">
        <v>227</v>
      </c>
      <c r="F125" s="10">
        <v>557.28</v>
      </c>
      <c r="G125" s="11">
        <f>(R_C)*557.28</f>
        <v>557.28</v>
      </c>
    </row>
    <row r="126" spans="1:7" x14ac:dyDescent="0.2">
      <c r="A126" s="8" t="s">
        <v>228</v>
      </c>
      <c r="B126" s="8">
        <v>21</v>
      </c>
      <c r="C126" s="8">
        <v>900</v>
      </c>
      <c r="D126" s="9">
        <v>400</v>
      </c>
      <c r="E126" s="2" t="s">
        <v>229</v>
      </c>
      <c r="F126" s="10">
        <v>169.13</v>
      </c>
      <c r="G126" s="11">
        <f>(R_C)*169.13</f>
        <v>169.13</v>
      </c>
    </row>
    <row r="127" spans="1:7" x14ac:dyDescent="0.2">
      <c r="A127" s="8" t="s">
        <v>230</v>
      </c>
      <c r="B127" s="8">
        <v>21</v>
      </c>
      <c r="C127" s="8">
        <v>900</v>
      </c>
      <c r="D127" s="9">
        <v>500</v>
      </c>
      <c r="E127" s="2" t="s">
        <v>231</v>
      </c>
      <c r="F127" s="10">
        <v>191.02</v>
      </c>
      <c r="G127" s="11">
        <f>(R_C)*191.02</f>
        <v>191.02</v>
      </c>
    </row>
    <row r="128" spans="1:7" x14ac:dyDescent="0.2">
      <c r="A128" s="8" t="s">
        <v>232</v>
      </c>
      <c r="B128" s="8">
        <v>21</v>
      </c>
      <c r="C128" s="8">
        <v>900</v>
      </c>
      <c r="D128" s="9">
        <v>600</v>
      </c>
      <c r="E128" s="2" t="s">
        <v>233</v>
      </c>
      <c r="F128" s="10">
        <v>213.42</v>
      </c>
      <c r="G128" s="11">
        <f>(R_C)*213.42</f>
        <v>213.42</v>
      </c>
    </row>
    <row r="129" spans="1:7" x14ac:dyDescent="0.2">
      <c r="A129" s="8" t="s">
        <v>234</v>
      </c>
      <c r="B129" s="8">
        <v>21</v>
      </c>
      <c r="C129" s="8">
        <v>900</v>
      </c>
      <c r="D129" s="9">
        <v>800</v>
      </c>
      <c r="E129" s="2" t="s">
        <v>235</v>
      </c>
      <c r="F129" s="10">
        <v>270.17</v>
      </c>
      <c r="G129" s="11">
        <f>(R_C)*270.17</f>
        <v>270.17</v>
      </c>
    </row>
    <row r="130" spans="1:7" x14ac:dyDescent="0.2">
      <c r="A130" s="8" t="s">
        <v>236</v>
      </c>
      <c r="B130" s="8">
        <v>21</v>
      </c>
      <c r="C130" s="8">
        <v>900</v>
      </c>
      <c r="D130" s="9">
        <v>1000</v>
      </c>
      <c r="E130" s="2" t="s">
        <v>237</v>
      </c>
      <c r="F130" s="10">
        <v>326.8</v>
      </c>
      <c r="G130" s="11">
        <f>(R_C)*326.8</f>
        <v>326.8</v>
      </c>
    </row>
    <row r="131" spans="1:7" x14ac:dyDescent="0.2">
      <c r="A131" s="8" t="s">
        <v>238</v>
      </c>
      <c r="B131" s="8">
        <v>21</v>
      </c>
      <c r="C131" s="8">
        <v>900</v>
      </c>
      <c r="D131" s="9">
        <v>1200</v>
      </c>
      <c r="E131" s="2" t="s">
        <v>239</v>
      </c>
      <c r="F131" s="10">
        <v>383.66</v>
      </c>
      <c r="G131" s="11">
        <f>(R_C)*383.66</f>
        <v>383.66</v>
      </c>
    </row>
    <row r="132" spans="1:7" x14ac:dyDescent="0.2">
      <c r="A132" s="8" t="s">
        <v>240</v>
      </c>
      <c r="B132" s="8">
        <v>21</v>
      </c>
      <c r="C132" s="8">
        <v>900</v>
      </c>
      <c r="D132" s="9">
        <v>1400</v>
      </c>
      <c r="E132" s="2" t="s">
        <v>241</v>
      </c>
      <c r="F132" s="10">
        <v>440.4</v>
      </c>
      <c r="G132" s="11">
        <f>(R_C)*440.4</f>
        <v>440.4</v>
      </c>
    </row>
    <row r="133" spans="1:7" x14ac:dyDescent="0.2">
      <c r="A133" s="8" t="s">
        <v>242</v>
      </c>
      <c r="B133" s="8">
        <v>21</v>
      </c>
      <c r="C133" s="8">
        <v>900</v>
      </c>
      <c r="D133" s="9">
        <v>1600</v>
      </c>
      <c r="E133" s="2" t="s">
        <v>243</v>
      </c>
      <c r="F133" s="10">
        <v>497.31</v>
      </c>
      <c r="G133" s="11">
        <f>(R_C)*497.31</f>
        <v>497.31</v>
      </c>
    </row>
    <row r="134" spans="1:7" x14ac:dyDescent="0.2">
      <c r="A134" s="8" t="s">
        <v>244</v>
      </c>
      <c r="B134" s="8">
        <v>21</v>
      </c>
      <c r="C134" s="8">
        <v>900</v>
      </c>
      <c r="D134" s="9">
        <v>1800</v>
      </c>
      <c r="E134" s="2" t="s">
        <v>245</v>
      </c>
      <c r="F134" s="10">
        <v>553.48</v>
      </c>
      <c r="G134" s="11">
        <f>(R_C)*553.48</f>
        <v>553.48</v>
      </c>
    </row>
    <row r="135" spans="1:7" x14ac:dyDescent="0.2">
      <c r="A135" s="8" t="s">
        <v>246</v>
      </c>
      <c r="B135" s="8">
        <v>21</v>
      </c>
      <c r="C135" s="8">
        <v>900</v>
      </c>
      <c r="D135" s="9">
        <v>2000</v>
      </c>
      <c r="E135" s="2" t="s">
        <v>247</v>
      </c>
      <c r="F135" s="10">
        <v>611.35</v>
      </c>
      <c r="G135" s="11">
        <f>(R_C)*611.35</f>
        <v>611.35</v>
      </c>
    </row>
    <row r="136" spans="1:7" x14ac:dyDescent="0.2">
      <c r="A136" s="8" t="s">
        <v>248</v>
      </c>
      <c r="B136" s="8">
        <v>22</v>
      </c>
      <c r="C136" s="8">
        <v>300</v>
      </c>
      <c r="D136" s="9">
        <v>400</v>
      </c>
      <c r="E136" s="2" t="s">
        <v>249</v>
      </c>
      <c r="F136" s="10">
        <v>91.91</v>
      </c>
      <c r="G136" s="11">
        <f>(R_C)*91.91</f>
        <v>91.91</v>
      </c>
    </row>
    <row r="137" spans="1:7" x14ac:dyDescent="0.2">
      <c r="A137" s="8" t="s">
        <v>250</v>
      </c>
      <c r="B137" s="8">
        <v>22</v>
      </c>
      <c r="C137" s="8">
        <v>300</v>
      </c>
      <c r="D137" s="9">
        <v>500</v>
      </c>
      <c r="E137" s="2" t="s">
        <v>251</v>
      </c>
      <c r="F137" s="10">
        <v>106.69</v>
      </c>
      <c r="G137" s="11">
        <f>(R_C)*106.69</f>
        <v>106.69</v>
      </c>
    </row>
    <row r="138" spans="1:7" x14ac:dyDescent="0.2">
      <c r="A138" s="8" t="s">
        <v>252</v>
      </c>
      <c r="B138" s="8">
        <v>22</v>
      </c>
      <c r="C138" s="8">
        <v>300</v>
      </c>
      <c r="D138" s="9">
        <v>600</v>
      </c>
      <c r="E138" s="2" t="s">
        <v>253</v>
      </c>
      <c r="F138" s="10">
        <v>119.29</v>
      </c>
      <c r="G138" s="11">
        <f>(R_C)*119.29</f>
        <v>119.29</v>
      </c>
    </row>
    <row r="139" spans="1:7" x14ac:dyDescent="0.2">
      <c r="A139" s="8" t="s">
        <v>254</v>
      </c>
      <c r="B139" s="8">
        <v>22</v>
      </c>
      <c r="C139" s="8">
        <v>300</v>
      </c>
      <c r="D139" s="9">
        <v>800</v>
      </c>
      <c r="E139" s="2" t="s">
        <v>255</v>
      </c>
      <c r="F139" s="10">
        <v>141.74</v>
      </c>
      <c r="G139" s="11">
        <f>(R_C)*141.74</f>
        <v>141.74</v>
      </c>
    </row>
    <row r="140" spans="1:7" x14ac:dyDescent="0.2">
      <c r="A140" s="8" t="s">
        <v>256</v>
      </c>
      <c r="B140" s="8">
        <v>22</v>
      </c>
      <c r="C140" s="8">
        <v>300</v>
      </c>
      <c r="D140" s="9">
        <v>1000</v>
      </c>
      <c r="E140" s="2" t="s">
        <v>257</v>
      </c>
      <c r="F140" s="10">
        <v>163.86</v>
      </c>
      <c r="G140" s="11">
        <f>(R_C)*163.86</f>
        <v>163.86</v>
      </c>
    </row>
    <row r="141" spans="1:7" x14ac:dyDescent="0.2">
      <c r="A141" s="8" t="s">
        <v>258</v>
      </c>
      <c r="B141" s="8">
        <v>22</v>
      </c>
      <c r="C141" s="8">
        <v>300</v>
      </c>
      <c r="D141" s="9">
        <v>1200</v>
      </c>
      <c r="E141" s="2" t="s">
        <v>259</v>
      </c>
      <c r="F141" s="10">
        <v>185.34</v>
      </c>
      <c r="G141" s="11">
        <f>(R_C)*185.34</f>
        <v>185.34</v>
      </c>
    </row>
    <row r="142" spans="1:7" x14ac:dyDescent="0.2">
      <c r="A142" s="8" t="s">
        <v>260</v>
      </c>
      <c r="B142" s="8">
        <v>22</v>
      </c>
      <c r="C142" s="8">
        <v>300</v>
      </c>
      <c r="D142" s="9">
        <v>1400</v>
      </c>
      <c r="E142" s="2" t="s">
        <v>261</v>
      </c>
      <c r="F142" s="10">
        <v>207.81</v>
      </c>
      <c r="G142" s="11">
        <f>(R_C)*207.81</f>
        <v>207.81</v>
      </c>
    </row>
    <row r="143" spans="1:7" x14ac:dyDescent="0.2">
      <c r="A143" s="8" t="s">
        <v>262</v>
      </c>
      <c r="B143" s="8">
        <v>22</v>
      </c>
      <c r="C143" s="8">
        <v>300</v>
      </c>
      <c r="D143" s="9">
        <v>1600</v>
      </c>
      <c r="E143" s="2" t="s">
        <v>263</v>
      </c>
      <c r="F143" s="10">
        <v>229.93</v>
      </c>
      <c r="G143" s="11">
        <f>(R_C)*229.93</f>
        <v>229.93</v>
      </c>
    </row>
    <row r="144" spans="1:7" x14ac:dyDescent="0.2">
      <c r="A144" s="8" t="s">
        <v>264</v>
      </c>
      <c r="B144" s="8">
        <v>22</v>
      </c>
      <c r="C144" s="8">
        <v>300</v>
      </c>
      <c r="D144" s="9">
        <v>1800</v>
      </c>
      <c r="E144" s="2" t="s">
        <v>265</v>
      </c>
      <c r="F144" s="10">
        <v>251.69</v>
      </c>
      <c r="G144" s="11">
        <f>(R_C)*251.69</f>
        <v>251.69</v>
      </c>
    </row>
    <row r="145" spans="1:7" x14ac:dyDescent="0.2">
      <c r="A145" s="8" t="s">
        <v>266</v>
      </c>
      <c r="B145" s="8">
        <v>22</v>
      </c>
      <c r="C145" s="8">
        <v>300</v>
      </c>
      <c r="D145" s="9">
        <v>2000</v>
      </c>
      <c r="E145" s="2" t="s">
        <v>267</v>
      </c>
      <c r="F145" s="10">
        <v>273.70999999999998</v>
      </c>
      <c r="G145" s="11">
        <f>(R_C)*273.71</f>
        <v>273.70999999999998</v>
      </c>
    </row>
    <row r="146" spans="1:7" x14ac:dyDescent="0.2">
      <c r="A146" s="8" t="s">
        <v>268</v>
      </c>
      <c r="B146" s="8">
        <v>22</v>
      </c>
      <c r="C146" s="8">
        <v>300</v>
      </c>
      <c r="D146" s="9">
        <v>2300</v>
      </c>
      <c r="E146" s="2" t="s">
        <v>269</v>
      </c>
      <c r="F146" s="10">
        <v>306.44</v>
      </c>
      <c r="G146" s="11">
        <f>(R_C)*306.44</f>
        <v>306.44</v>
      </c>
    </row>
    <row r="147" spans="1:7" x14ac:dyDescent="0.2">
      <c r="A147" s="8" t="s">
        <v>270</v>
      </c>
      <c r="B147" s="8">
        <v>22</v>
      </c>
      <c r="C147" s="8">
        <v>300</v>
      </c>
      <c r="D147" s="9">
        <v>2600</v>
      </c>
      <c r="E147" s="2" t="s">
        <v>271</v>
      </c>
      <c r="F147" s="10">
        <v>340.05</v>
      </c>
      <c r="G147" s="11">
        <f>(R_C)*340.05</f>
        <v>340.05</v>
      </c>
    </row>
    <row r="148" spans="1:7" x14ac:dyDescent="0.2">
      <c r="A148" s="8" t="s">
        <v>272</v>
      </c>
      <c r="B148" s="8">
        <v>22</v>
      </c>
      <c r="C148" s="8">
        <v>300</v>
      </c>
      <c r="D148" s="9">
        <v>3000</v>
      </c>
      <c r="E148" s="2" t="s">
        <v>273</v>
      </c>
      <c r="F148" s="10">
        <v>383.94</v>
      </c>
      <c r="G148" s="11">
        <f>(R_C)*383.94</f>
        <v>383.94</v>
      </c>
    </row>
    <row r="149" spans="1:7" x14ac:dyDescent="0.2">
      <c r="A149" s="8" t="s">
        <v>274</v>
      </c>
      <c r="B149" s="8">
        <v>22</v>
      </c>
      <c r="C149" s="8">
        <v>400</v>
      </c>
      <c r="D149" s="9">
        <v>400</v>
      </c>
      <c r="E149" s="2" t="s">
        <v>275</v>
      </c>
      <c r="F149" s="10">
        <v>101.73</v>
      </c>
      <c r="G149" s="11">
        <f>(R_C)*101.73</f>
        <v>101.73</v>
      </c>
    </row>
    <row r="150" spans="1:7" x14ac:dyDescent="0.2">
      <c r="A150" s="8" t="s">
        <v>276</v>
      </c>
      <c r="B150" s="8">
        <v>22</v>
      </c>
      <c r="C150" s="8">
        <v>400</v>
      </c>
      <c r="D150" s="9">
        <v>500</v>
      </c>
      <c r="E150" s="2" t="s">
        <v>277</v>
      </c>
      <c r="F150" s="10">
        <v>115.74</v>
      </c>
      <c r="G150" s="11">
        <f>(R_C)*115.74</f>
        <v>115.74</v>
      </c>
    </row>
    <row r="151" spans="1:7" x14ac:dyDescent="0.2">
      <c r="A151" s="8" t="s">
        <v>278</v>
      </c>
      <c r="B151" s="8">
        <v>22</v>
      </c>
      <c r="C151" s="8">
        <v>400</v>
      </c>
      <c r="D151" s="9">
        <v>600</v>
      </c>
      <c r="E151" s="2" t="s">
        <v>279</v>
      </c>
      <c r="F151" s="10">
        <v>129.16999999999999</v>
      </c>
      <c r="G151" s="11">
        <f>(R_C)*129.17</f>
        <v>129.16999999999999</v>
      </c>
    </row>
    <row r="152" spans="1:7" x14ac:dyDescent="0.2">
      <c r="A152" s="8" t="s">
        <v>280</v>
      </c>
      <c r="B152" s="8">
        <v>22</v>
      </c>
      <c r="C152" s="8">
        <v>400</v>
      </c>
      <c r="D152" s="9">
        <v>800</v>
      </c>
      <c r="E152" s="2" t="s">
        <v>281</v>
      </c>
      <c r="F152" s="10">
        <v>155.41999999999999</v>
      </c>
      <c r="G152" s="11">
        <f>(R_C)*155.42</f>
        <v>155.41999999999999</v>
      </c>
    </row>
    <row r="153" spans="1:7" x14ac:dyDescent="0.2">
      <c r="A153" s="8" t="s">
        <v>282</v>
      </c>
      <c r="B153" s="8">
        <v>22</v>
      </c>
      <c r="C153" s="8">
        <v>400</v>
      </c>
      <c r="D153" s="9">
        <v>1000</v>
      </c>
      <c r="E153" s="2" t="s">
        <v>283</v>
      </c>
      <c r="F153" s="10">
        <v>182.1</v>
      </c>
      <c r="G153" s="11">
        <f>(R_C)*182.1</f>
        <v>182.1</v>
      </c>
    </row>
    <row r="154" spans="1:7" x14ac:dyDescent="0.2">
      <c r="A154" s="8" t="s">
        <v>284</v>
      </c>
      <c r="B154" s="8">
        <v>22</v>
      </c>
      <c r="C154" s="8">
        <v>400</v>
      </c>
      <c r="D154" s="9">
        <v>1200</v>
      </c>
      <c r="E154" s="2" t="s">
        <v>285</v>
      </c>
      <c r="F154" s="10">
        <v>209.5</v>
      </c>
      <c r="G154" s="11">
        <f>(R_C)*209.5</f>
        <v>209.5</v>
      </c>
    </row>
    <row r="155" spans="1:7" x14ac:dyDescent="0.2">
      <c r="A155" s="8" t="s">
        <v>286</v>
      </c>
      <c r="B155" s="8">
        <v>22</v>
      </c>
      <c r="C155" s="8">
        <v>400</v>
      </c>
      <c r="D155" s="9">
        <v>1400</v>
      </c>
      <c r="E155" s="2" t="s">
        <v>287</v>
      </c>
      <c r="F155" s="10">
        <v>236.57</v>
      </c>
      <c r="G155" s="11">
        <f>(R_C)*236.57</f>
        <v>236.57</v>
      </c>
    </row>
    <row r="156" spans="1:7" x14ac:dyDescent="0.2">
      <c r="A156" s="8" t="s">
        <v>288</v>
      </c>
      <c r="B156" s="8">
        <v>22</v>
      </c>
      <c r="C156" s="8">
        <v>400</v>
      </c>
      <c r="D156" s="9">
        <v>1600</v>
      </c>
      <c r="E156" s="2" t="s">
        <v>289</v>
      </c>
      <c r="F156" s="10">
        <v>262.85000000000002</v>
      </c>
      <c r="G156" s="11">
        <f>(R_C)*262.85</f>
        <v>262.85000000000002</v>
      </c>
    </row>
    <row r="157" spans="1:7" x14ac:dyDescent="0.2">
      <c r="A157" s="8" t="s">
        <v>290</v>
      </c>
      <c r="B157" s="8">
        <v>22</v>
      </c>
      <c r="C157" s="8">
        <v>400</v>
      </c>
      <c r="D157" s="9">
        <v>1800</v>
      </c>
      <c r="E157" s="2" t="s">
        <v>291</v>
      </c>
      <c r="F157" s="10">
        <v>289.95</v>
      </c>
      <c r="G157" s="11">
        <f>(R_C)*289.95</f>
        <v>289.95</v>
      </c>
    </row>
    <row r="158" spans="1:7" x14ac:dyDescent="0.2">
      <c r="A158" s="8" t="s">
        <v>292</v>
      </c>
      <c r="B158" s="8">
        <v>22</v>
      </c>
      <c r="C158" s="8">
        <v>400</v>
      </c>
      <c r="D158" s="9">
        <v>2000</v>
      </c>
      <c r="E158" s="2" t="s">
        <v>293</v>
      </c>
      <c r="F158" s="10">
        <v>316.89</v>
      </c>
      <c r="G158" s="11">
        <f>(R_C)*316.89</f>
        <v>316.89</v>
      </c>
    </row>
    <row r="159" spans="1:7" x14ac:dyDescent="0.2">
      <c r="A159" s="8" t="s">
        <v>294</v>
      </c>
      <c r="B159" s="8">
        <v>22</v>
      </c>
      <c r="C159" s="8">
        <v>400</v>
      </c>
      <c r="D159" s="9">
        <v>2300</v>
      </c>
      <c r="E159" s="2" t="s">
        <v>295</v>
      </c>
      <c r="F159" s="10">
        <v>357.26</v>
      </c>
      <c r="G159" s="11">
        <f>(R_C)*357.26</f>
        <v>357.26</v>
      </c>
    </row>
    <row r="160" spans="1:7" x14ac:dyDescent="0.2">
      <c r="A160" s="8" t="s">
        <v>296</v>
      </c>
      <c r="B160" s="8">
        <v>22</v>
      </c>
      <c r="C160" s="8">
        <v>400</v>
      </c>
      <c r="D160" s="9">
        <v>2600</v>
      </c>
      <c r="E160" s="2" t="s">
        <v>297</v>
      </c>
      <c r="F160" s="10">
        <v>397.64</v>
      </c>
      <c r="G160" s="11">
        <f>(R_C)*397.64</f>
        <v>397.64</v>
      </c>
    </row>
    <row r="161" spans="1:7" x14ac:dyDescent="0.2">
      <c r="A161" s="8" t="s">
        <v>298</v>
      </c>
      <c r="B161" s="8">
        <v>22</v>
      </c>
      <c r="C161" s="8">
        <v>400</v>
      </c>
      <c r="D161" s="9">
        <v>3000</v>
      </c>
      <c r="E161" s="2" t="s">
        <v>299</v>
      </c>
      <c r="F161" s="10">
        <v>451.27</v>
      </c>
      <c r="G161" s="11">
        <f>(R_C)*451.27</f>
        <v>451.27</v>
      </c>
    </row>
    <row r="162" spans="1:7" x14ac:dyDescent="0.2">
      <c r="A162" s="8" t="s">
        <v>300</v>
      </c>
      <c r="B162" s="8">
        <v>22</v>
      </c>
      <c r="C162" s="8">
        <v>500</v>
      </c>
      <c r="D162" s="9">
        <v>400</v>
      </c>
      <c r="E162" s="2" t="s">
        <v>301</v>
      </c>
      <c r="F162" s="10">
        <v>119.97</v>
      </c>
      <c r="G162" s="11">
        <f>(R_C)*119.97</f>
        <v>119.97</v>
      </c>
    </row>
    <row r="163" spans="1:7" x14ac:dyDescent="0.2">
      <c r="A163" s="8" t="s">
        <v>302</v>
      </c>
      <c r="B163" s="8">
        <v>22</v>
      </c>
      <c r="C163" s="8">
        <v>500</v>
      </c>
      <c r="D163" s="9">
        <v>500</v>
      </c>
      <c r="E163" s="2" t="s">
        <v>303</v>
      </c>
      <c r="F163" s="10">
        <v>135.5</v>
      </c>
      <c r="G163" s="11">
        <f>(R_C)*135.5</f>
        <v>135.5</v>
      </c>
    </row>
    <row r="164" spans="1:7" x14ac:dyDescent="0.2">
      <c r="A164" s="8" t="s">
        <v>304</v>
      </c>
      <c r="B164" s="8">
        <v>22</v>
      </c>
      <c r="C164" s="8">
        <v>500</v>
      </c>
      <c r="D164" s="9">
        <v>600</v>
      </c>
      <c r="E164" s="2" t="s">
        <v>305</v>
      </c>
      <c r="F164" s="10">
        <v>152.01</v>
      </c>
      <c r="G164" s="11">
        <f>(R_C)*152.01</f>
        <v>152.01</v>
      </c>
    </row>
    <row r="165" spans="1:7" x14ac:dyDescent="0.2">
      <c r="A165" s="8" t="s">
        <v>306</v>
      </c>
      <c r="B165" s="8">
        <v>22</v>
      </c>
      <c r="C165" s="8">
        <v>500</v>
      </c>
      <c r="D165" s="9">
        <v>800</v>
      </c>
      <c r="E165" s="2" t="s">
        <v>307</v>
      </c>
      <c r="F165" s="10">
        <v>184.23</v>
      </c>
      <c r="G165" s="11">
        <f>(R_C)*184.23</f>
        <v>184.23</v>
      </c>
    </row>
    <row r="166" spans="1:7" x14ac:dyDescent="0.2">
      <c r="A166" s="8" t="s">
        <v>308</v>
      </c>
      <c r="B166" s="8">
        <v>22</v>
      </c>
      <c r="C166" s="8">
        <v>500</v>
      </c>
      <c r="D166" s="9">
        <v>1000</v>
      </c>
      <c r="E166" s="2" t="s">
        <v>309</v>
      </c>
      <c r="F166" s="10">
        <v>216.94</v>
      </c>
      <c r="G166" s="11">
        <f>(R_C)*216.94</f>
        <v>216.94</v>
      </c>
    </row>
    <row r="167" spans="1:7" x14ac:dyDescent="0.2">
      <c r="A167" s="8" t="s">
        <v>310</v>
      </c>
      <c r="B167" s="8">
        <v>22</v>
      </c>
      <c r="C167" s="8">
        <v>500</v>
      </c>
      <c r="D167" s="9">
        <v>1200</v>
      </c>
      <c r="E167" s="2" t="s">
        <v>311</v>
      </c>
      <c r="F167" s="10">
        <v>249.87</v>
      </c>
      <c r="G167" s="11">
        <f>(R_C)*249.87</f>
        <v>249.87</v>
      </c>
    </row>
    <row r="168" spans="1:7" x14ac:dyDescent="0.2">
      <c r="A168" s="8" t="s">
        <v>312</v>
      </c>
      <c r="B168" s="8">
        <v>22</v>
      </c>
      <c r="C168" s="8">
        <v>500</v>
      </c>
      <c r="D168" s="9">
        <v>1400</v>
      </c>
      <c r="E168" s="2" t="s">
        <v>313</v>
      </c>
      <c r="F168" s="10">
        <v>282.45999999999998</v>
      </c>
      <c r="G168" s="11">
        <f>(R_C)*282.46</f>
        <v>282.45999999999998</v>
      </c>
    </row>
    <row r="169" spans="1:7" x14ac:dyDescent="0.2">
      <c r="A169" s="8" t="s">
        <v>314</v>
      </c>
      <c r="B169" s="8">
        <v>22</v>
      </c>
      <c r="C169" s="8">
        <v>500</v>
      </c>
      <c r="D169" s="9">
        <v>1600</v>
      </c>
      <c r="E169" s="2" t="s">
        <v>315</v>
      </c>
      <c r="F169" s="10">
        <v>315.22000000000003</v>
      </c>
      <c r="G169" s="11">
        <f>(R_C)*315.22</f>
        <v>315.22000000000003</v>
      </c>
    </row>
    <row r="170" spans="1:7" x14ac:dyDescent="0.2">
      <c r="A170" s="8" t="s">
        <v>316</v>
      </c>
      <c r="B170" s="8">
        <v>22</v>
      </c>
      <c r="C170" s="8">
        <v>500</v>
      </c>
      <c r="D170" s="9">
        <v>1800</v>
      </c>
      <c r="E170" s="2" t="s">
        <v>317</v>
      </c>
      <c r="F170" s="10">
        <v>347.81</v>
      </c>
      <c r="G170" s="11">
        <f>(R_C)*347.81</f>
        <v>347.81</v>
      </c>
    </row>
    <row r="171" spans="1:7" x14ac:dyDescent="0.2">
      <c r="A171" s="8" t="s">
        <v>318</v>
      </c>
      <c r="B171" s="8">
        <v>22</v>
      </c>
      <c r="C171" s="8">
        <v>500</v>
      </c>
      <c r="D171" s="9">
        <v>2000</v>
      </c>
      <c r="E171" s="2" t="s">
        <v>319</v>
      </c>
      <c r="F171" s="10">
        <v>380.82</v>
      </c>
      <c r="G171" s="11">
        <f>(R_C)*380.82</f>
        <v>380.82</v>
      </c>
    </row>
    <row r="172" spans="1:7" x14ac:dyDescent="0.2">
      <c r="A172" s="8" t="s">
        <v>320</v>
      </c>
      <c r="B172" s="8">
        <v>22</v>
      </c>
      <c r="C172" s="8">
        <v>500</v>
      </c>
      <c r="D172" s="9">
        <v>2300</v>
      </c>
      <c r="E172" s="2" t="s">
        <v>321</v>
      </c>
      <c r="F172" s="10">
        <v>429.96</v>
      </c>
      <c r="G172" s="11">
        <f>(R_C)*429.96</f>
        <v>429.96</v>
      </c>
    </row>
    <row r="173" spans="1:7" x14ac:dyDescent="0.2">
      <c r="A173" s="8" t="s">
        <v>322</v>
      </c>
      <c r="B173" s="8">
        <v>22</v>
      </c>
      <c r="C173" s="8">
        <v>500</v>
      </c>
      <c r="D173" s="9">
        <v>2600</v>
      </c>
      <c r="E173" s="2" t="s">
        <v>323</v>
      </c>
      <c r="F173" s="10">
        <v>479.08</v>
      </c>
      <c r="G173" s="11">
        <f>(R_C)*479.08</f>
        <v>479.08</v>
      </c>
    </row>
    <row r="174" spans="1:7" x14ac:dyDescent="0.2">
      <c r="A174" s="8" t="s">
        <v>324</v>
      </c>
      <c r="B174" s="8">
        <v>22</v>
      </c>
      <c r="C174" s="8">
        <v>500</v>
      </c>
      <c r="D174" s="9">
        <v>3000</v>
      </c>
      <c r="E174" s="2" t="s">
        <v>325</v>
      </c>
      <c r="F174" s="10">
        <v>545</v>
      </c>
      <c r="G174" s="11">
        <f>(R_C)*545</f>
        <v>545</v>
      </c>
    </row>
    <row r="175" spans="1:7" x14ac:dyDescent="0.2">
      <c r="A175" s="8" t="s">
        <v>326</v>
      </c>
      <c r="B175" s="8">
        <v>22</v>
      </c>
      <c r="C175" s="8">
        <v>600</v>
      </c>
      <c r="D175" s="9">
        <v>400</v>
      </c>
      <c r="E175" s="2" t="s">
        <v>327</v>
      </c>
      <c r="F175" s="10">
        <v>128.16</v>
      </c>
      <c r="G175" s="11">
        <f>(R_C)*128.16</f>
        <v>128.16</v>
      </c>
    </row>
    <row r="176" spans="1:7" x14ac:dyDescent="0.2">
      <c r="A176" s="8" t="s">
        <v>328</v>
      </c>
      <c r="B176" s="8">
        <v>22</v>
      </c>
      <c r="C176" s="8">
        <v>600</v>
      </c>
      <c r="D176" s="9">
        <v>500</v>
      </c>
      <c r="E176" s="2" t="s">
        <v>329</v>
      </c>
      <c r="F176" s="10">
        <v>145.24</v>
      </c>
      <c r="G176" s="11">
        <f>(R_C)*145.24</f>
        <v>145.24</v>
      </c>
    </row>
    <row r="177" spans="1:7" x14ac:dyDescent="0.2">
      <c r="A177" s="8" t="s">
        <v>330</v>
      </c>
      <c r="B177" s="8">
        <v>22</v>
      </c>
      <c r="C177" s="8">
        <v>600</v>
      </c>
      <c r="D177" s="9">
        <v>600</v>
      </c>
      <c r="E177" s="2" t="s">
        <v>331</v>
      </c>
      <c r="F177" s="10">
        <v>162.19999999999999</v>
      </c>
      <c r="G177" s="11">
        <f>(R_C)*162.2</f>
        <v>162.19999999999999</v>
      </c>
    </row>
    <row r="178" spans="1:7" x14ac:dyDescent="0.2">
      <c r="A178" s="8" t="s">
        <v>332</v>
      </c>
      <c r="B178" s="8">
        <v>22</v>
      </c>
      <c r="C178" s="8">
        <v>600</v>
      </c>
      <c r="D178" s="9">
        <v>800</v>
      </c>
      <c r="E178" s="2" t="s">
        <v>333</v>
      </c>
      <c r="F178" s="10">
        <v>199.02</v>
      </c>
      <c r="G178" s="11">
        <f>(R_C)*199.02</f>
        <v>199.02</v>
      </c>
    </row>
    <row r="179" spans="1:7" x14ac:dyDescent="0.2">
      <c r="A179" s="8" t="s">
        <v>334</v>
      </c>
      <c r="B179" s="8">
        <v>22</v>
      </c>
      <c r="C179" s="8">
        <v>600</v>
      </c>
      <c r="D179" s="9">
        <v>1000</v>
      </c>
      <c r="E179" s="2" t="s">
        <v>335</v>
      </c>
      <c r="F179" s="10">
        <v>235.46</v>
      </c>
      <c r="G179" s="11">
        <f>(R_C)*235.46</f>
        <v>235.46</v>
      </c>
    </row>
    <row r="180" spans="1:7" x14ac:dyDescent="0.2">
      <c r="A180" s="8" t="s">
        <v>336</v>
      </c>
      <c r="B180" s="8">
        <v>22</v>
      </c>
      <c r="C180" s="8">
        <v>600</v>
      </c>
      <c r="D180" s="9">
        <v>1200</v>
      </c>
      <c r="E180" s="2" t="s">
        <v>337</v>
      </c>
      <c r="F180" s="10">
        <v>271.3</v>
      </c>
      <c r="G180" s="11">
        <f>(R_C)*271.3</f>
        <v>271.3</v>
      </c>
    </row>
    <row r="181" spans="1:7" x14ac:dyDescent="0.2">
      <c r="A181" s="8" t="s">
        <v>338</v>
      </c>
      <c r="B181" s="8">
        <v>22</v>
      </c>
      <c r="C181" s="8">
        <v>600</v>
      </c>
      <c r="D181" s="9">
        <v>1400</v>
      </c>
      <c r="E181" s="2" t="s">
        <v>339</v>
      </c>
      <c r="F181" s="10">
        <v>307.43</v>
      </c>
      <c r="G181" s="11">
        <f>(R_C)*307.43</f>
        <v>307.43</v>
      </c>
    </row>
    <row r="182" spans="1:7" x14ac:dyDescent="0.2">
      <c r="A182" s="8" t="s">
        <v>340</v>
      </c>
      <c r="B182" s="8">
        <v>22</v>
      </c>
      <c r="C182" s="8">
        <v>600</v>
      </c>
      <c r="D182" s="9">
        <v>1600</v>
      </c>
      <c r="E182" s="2" t="s">
        <v>341</v>
      </c>
      <c r="F182" s="10">
        <v>343.57</v>
      </c>
      <c r="G182" s="11">
        <f>(R_C)*343.57</f>
        <v>343.57</v>
      </c>
    </row>
    <row r="183" spans="1:7" x14ac:dyDescent="0.2">
      <c r="A183" s="8" t="s">
        <v>342</v>
      </c>
      <c r="B183" s="8">
        <v>22</v>
      </c>
      <c r="C183" s="8">
        <v>600</v>
      </c>
      <c r="D183" s="9">
        <v>1800</v>
      </c>
      <c r="E183" s="2" t="s">
        <v>343</v>
      </c>
      <c r="F183" s="10">
        <v>380.46</v>
      </c>
      <c r="G183" s="11">
        <f>(R_C)*380.46</f>
        <v>380.46</v>
      </c>
    </row>
    <row r="184" spans="1:7" x14ac:dyDescent="0.2">
      <c r="A184" s="8" t="s">
        <v>344</v>
      </c>
      <c r="B184" s="8">
        <v>22</v>
      </c>
      <c r="C184" s="8">
        <v>600</v>
      </c>
      <c r="D184" s="9">
        <v>2000</v>
      </c>
      <c r="E184" s="2" t="s">
        <v>345</v>
      </c>
      <c r="F184" s="10">
        <v>416.29</v>
      </c>
      <c r="G184" s="11">
        <f>(R_C)*416.29</f>
        <v>416.29</v>
      </c>
    </row>
    <row r="185" spans="1:7" x14ac:dyDescent="0.2">
      <c r="A185" s="8" t="s">
        <v>346</v>
      </c>
      <c r="B185" s="8">
        <v>22</v>
      </c>
      <c r="C185" s="8">
        <v>600</v>
      </c>
      <c r="D185" s="9">
        <v>2300</v>
      </c>
      <c r="E185" s="2" t="s">
        <v>347</v>
      </c>
      <c r="F185" s="10">
        <v>471.35</v>
      </c>
      <c r="G185" s="11">
        <f>(R_C)*471.35</f>
        <v>471.35</v>
      </c>
    </row>
    <row r="186" spans="1:7" x14ac:dyDescent="0.2">
      <c r="A186" s="8" t="s">
        <v>348</v>
      </c>
      <c r="B186" s="8">
        <v>22</v>
      </c>
      <c r="C186" s="8">
        <v>600</v>
      </c>
      <c r="D186" s="9">
        <v>2600</v>
      </c>
      <c r="E186" s="2" t="s">
        <v>349</v>
      </c>
      <c r="F186" s="10">
        <v>525.66999999999996</v>
      </c>
      <c r="G186" s="11">
        <f>(R_C)*525.67</f>
        <v>525.66999999999996</v>
      </c>
    </row>
    <row r="187" spans="1:7" x14ac:dyDescent="0.2">
      <c r="A187" s="8" t="s">
        <v>350</v>
      </c>
      <c r="B187" s="8">
        <v>22</v>
      </c>
      <c r="C187" s="8">
        <v>600</v>
      </c>
      <c r="D187" s="9">
        <v>3000</v>
      </c>
      <c r="E187" s="2" t="s">
        <v>351</v>
      </c>
      <c r="F187" s="10">
        <v>598.05999999999995</v>
      </c>
      <c r="G187" s="11">
        <f>(R_C)*598.06</f>
        <v>598.05999999999995</v>
      </c>
    </row>
    <row r="188" spans="1:7" x14ac:dyDescent="0.2">
      <c r="A188" s="8" t="s">
        <v>352</v>
      </c>
      <c r="B188" s="8">
        <v>22</v>
      </c>
      <c r="C188" s="8">
        <v>900</v>
      </c>
      <c r="D188" s="9">
        <v>400</v>
      </c>
      <c r="E188" s="2" t="s">
        <v>353</v>
      </c>
      <c r="F188" s="10">
        <v>181.4</v>
      </c>
      <c r="G188" s="11">
        <f>(R_C)*181.4</f>
        <v>181.4</v>
      </c>
    </row>
    <row r="189" spans="1:7" x14ac:dyDescent="0.2">
      <c r="A189" s="8" t="s">
        <v>354</v>
      </c>
      <c r="B189" s="8">
        <v>22</v>
      </c>
      <c r="C189" s="8">
        <v>900</v>
      </c>
      <c r="D189" s="9">
        <v>500</v>
      </c>
      <c r="E189" s="2" t="s">
        <v>355</v>
      </c>
      <c r="F189" s="10">
        <v>204.67</v>
      </c>
      <c r="G189" s="11">
        <f>(R_C)*204.67</f>
        <v>204.67</v>
      </c>
    </row>
    <row r="190" spans="1:7" x14ac:dyDescent="0.2">
      <c r="A190" s="8" t="s">
        <v>356</v>
      </c>
      <c r="B190" s="8">
        <v>22</v>
      </c>
      <c r="C190" s="8">
        <v>900</v>
      </c>
      <c r="D190" s="9">
        <v>600</v>
      </c>
      <c r="E190" s="2" t="s">
        <v>357</v>
      </c>
      <c r="F190" s="10">
        <v>228.52</v>
      </c>
      <c r="G190" s="11">
        <f>(R_C)*228.52</f>
        <v>228.52</v>
      </c>
    </row>
    <row r="191" spans="1:7" x14ac:dyDescent="0.2">
      <c r="A191" s="8" t="s">
        <v>358</v>
      </c>
      <c r="B191" s="8">
        <v>22</v>
      </c>
      <c r="C191" s="8">
        <v>900</v>
      </c>
      <c r="D191" s="9">
        <v>800</v>
      </c>
      <c r="E191" s="2" t="s">
        <v>359</v>
      </c>
      <c r="F191" s="10">
        <v>289.24</v>
      </c>
      <c r="G191" s="11">
        <f>(R_C)*289.24</f>
        <v>289.24</v>
      </c>
    </row>
    <row r="192" spans="1:7" x14ac:dyDescent="0.2">
      <c r="A192" s="8" t="s">
        <v>360</v>
      </c>
      <c r="B192" s="8">
        <v>22</v>
      </c>
      <c r="C192" s="8">
        <v>900</v>
      </c>
      <c r="D192" s="9">
        <v>1000</v>
      </c>
      <c r="E192" s="2" t="s">
        <v>361</v>
      </c>
      <c r="F192" s="10">
        <v>350.66</v>
      </c>
      <c r="G192" s="11">
        <f>(R_C)*350.66</f>
        <v>350.66</v>
      </c>
    </row>
    <row r="193" spans="1:7" x14ac:dyDescent="0.2">
      <c r="A193" s="8" t="s">
        <v>362</v>
      </c>
      <c r="B193" s="8">
        <v>22</v>
      </c>
      <c r="C193" s="8">
        <v>900</v>
      </c>
      <c r="D193" s="9">
        <v>1200</v>
      </c>
      <c r="E193" s="2" t="s">
        <v>363</v>
      </c>
      <c r="F193" s="10">
        <v>410.92</v>
      </c>
      <c r="G193" s="11">
        <f>(R_C)*410.92</f>
        <v>410.92</v>
      </c>
    </row>
    <row r="194" spans="1:7" x14ac:dyDescent="0.2">
      <c r="A194" s="8" t="s">
        <v>364</v>
      </c>
      <c r="B194" s="8">
        <v>22</v>
      </c>
      <c r="C194" s="8">
        <v>900</v>
      </c>
      <c r="D194" s="9">
        <v>1400</v>
      </c>
      <c r="E194" s="2" t="s">
        <v>365</v>
      </c>
      <c r="F194" s="10">
        <v>471.73</v>
      </c>
      <c r="G194" s="11">
        <f>(R_C)*471.73</f>
        <v>471.73</v>
      </c>
    </row>
    <row r="195" spans="1:7" x14ac:dyDescent="0.2">
      <c r="A195" s="8" t="s">
        <v>366</v>
      </c>
      <c r="B195" s="8">
        <v>22</v>
      </c>
      <c r="C195" s="8">
        <v>900</v>
      </c>
      <c r="D195" s="9">
        <v>1600</v>
      </c>
      <c r="E195" s="2" t="s">
        <v>367</v>
      </c>
      <c r="F195" s="10">
        <v>532.46</v>
      </c>
      <c r="G195" s="11">
        <f>(R_C)*532.46</f>
        <v>532.46</v>
      </c>
    </row>
    <row r="196" spans="1:7" x14ac:dyDescent="0.2">
      <c r="A196" s="8" t="s">
        <v>368</v>
      </c>
      <c r="B196" s="8">
        <v>22</v>
      </c>
      <c r="C196" s="8">
        <v>900</v>
      </c>
      <c r="D196" s="9">
        <v>1800</v>
      </c>
      <c r="E196" s="2" t="s">
        <v>369</v>
      </c>
      <c r="F196" s="10">
        <v>593.44000000000005</v>
      </c>
      <c r="G196" s="11">
        <f>(R_C)*593.44</f>
        <v>593.44000000000005</v>
      </c>
    </row>
    <row r="197" spans="1:7" x14ac:dyDescent="0.2">
      <c r="A197" s="8" t="s">
        <v>370</v>
      </c>
      <c r="B197" s="8">
        <v>22</v>
      </c>
      <c r="C197" s="8">
        <v>900</v>
      </c>
      <c r="D197" s="9">
        <v>2000</v>
      </c>
      <c r="E197" s="2" t="s">
        <v>371</v>
      </c>
      <c r="F197" s="10">
        <v>654.80999999999995</v>
      </c>
      <c r="G197" s="11">
        <f>(R_C)*654.81</f>
        <v>654.80999999999995</v>
      </c>
    </row>
    <row r="198" spans="1:7" x14ac:dyDescent="0.2">
      <c r="A198" s="8" t="s">
        <v>372</v>
      </c>
      <c r="B198" s="8">
        <v>33</v>
      </c>
      <c r="C198" s="8">
        <v>300</v>
      </c>
      <c r="D198" s="9">
        <v>400</v>
      </c>
      <c r="E198" s="2" t="s">
        <v>373</v>
      </c>
      <c r="F198" s="10">
        <v>190.54</v>
      </c>
      <c r="G198" s="11">
        <f>(R_C)*190.54</f>
        <v>190.54</v>
      </c>
    </row>
    <row r="199" spans="1:7" x14ac:dyDescent="0.2">
      <c r="A199" s="8" t="s">
        <v>374</v>
      </c>
      <c r="B199" s="8">
        <v>33</v>
      </c>
      <c r="C199" s="8">
        <v>300</v>
      </c>
      <c r="D199" s="9">
        <v>500</v>
      </c>
      <c r="E199" s="2" t="s">
        <v>375</v>
      </c>
      <c r="F199" s="10">
        <v>203.28</v>
      </c>
      <c r="G199" s="11">
        <f>(R_C)*203.28</f>
        <v>203.28</v>
      </c>
    </row>
    <row r="200" spans="1:7" x14ac:dyDescent="0.2">
      <c r="A200" s="8" t="s">
        <v>376</v>
      </c>
      <c r="B200" s="8">
        <v>33</v>
      </c>
      <c r="C200" s="8">
        <v>300</v>
      </c>
      <c r="D200" s="9">
        <v>600</v>
      </c>
      <c r="E200" s="2" t="s">
        <v>377</v>
      </c>
      <c r="F200" s="10">
        <v>216.94</v>
      </c>
      <c r="G200" s="11">
        <f>(R_C)*216.94</f>
        <v>216.94</v>
      </c>
    </row>
    <row r="201" spans="1:7" x14ac:dyDescent="0.2">
      <c r="A201" s="8" t="s">
        <v>378</v>
      </c>
      <c r="B201" s="8">
        <v>33</v>
      </c>
      <c r="C201" s="8">
        <v>300</v>
      </c>
      <c r="D201" s="9">
        <v>800</v>
      </c>
      <c r="E201" s="2" t="s">
        <v>379</v>
      </c>
      <c r="F201" s="10">
        <v>246.33</v>
      </c>
      <c r="G201" s="11">
        <f>(R_C)*246.33</f>
        <v>246.33</v>
      </c>
    </row>
    <row r="202" spans="1:7" x14ac:dyDescent="0.2">
      <c r="A202" s="8" t="s">
        <v>380</v>
      </c>
      <c r="B202" s="8">
        <v>33</v>
      </c>
      <c r="C202" s="8">
        <v>300</v>
      </c>
      <c r="D202" s="9">
        <v>1000</v>
      </c>
      <c r="E202" s="2" t="s">
        <v>381</v>
      </c>
      <c r="F202" s="10">
        <v>277.63</v>
      </c>
      <c r="G202" s="11">
        <f>(R_C)*277.63</f>
        <v>277.63</v>
      </c>
    </row>
    <row r="203" spans="1:7" x14ac:dyDescent="0.2">
      <c r="A203" s="8" t="s">
        <v>382</v>
      </c>
      <c r="B203" s="8">
        <v>33</v>
      </c>
      <c r="C203" s="8">
        <v>300</v>
      </c>
      <c r="D203" s="9">
        <v>1200</v>
      </c>
      <c r="E203" s="2" t="s">
        <v>383</v>
      </c>
      <c r="F203" s="10">
        <v>308.86</v>
      </c>
      <c r="G203" s="11">
        <f>(R_C)*308.86</f>
        <v>308.86</v>
      </c>
    </row>
    <row r="204" spans="1:7" x14ac:dyDescent="0.2">
      <c r="A204" s="8" t="s">
        <v>384</v>
      </c>
      <c r="B204" s="8">
        <v>33</v>
      </c>
      <c r="C204" s="8">
        <v>300</v>
      </c>
      <c r="D204" s="9">
        <v>1400</v>
      </c>
      <c r="E204" s="2" t="s">
        <v>385</v>
      </c>
      <c r="F204" s="10">
        <v>340.05</v>
      </c>
      <c r="G204" s="11">
        <f>(R_C)*340.05</f>
        <v>340.05</v>
      </c>
    </row>
    <row r="205" spans="1:7" x14ac:dyDescent="0.2">
      <c r="A205" s="8" t="s">
        <v>386</v>
      </c>
      <c r="B205" s="8">
        <v>33</v>
      </c>
      <c r="C205" s="8">
        <v>300</v>
      </c>
      <c r="D205" s="9">
        <v>1600</v>
      </c>
      <c r="E205" s="2" t="s">
        <v>387</v>
      </c>
      <c r="F205" s="10">
        <v>371.39</v>
      </c>
      <c r="G205" s="11">
        <f>(R_C)*371.39</f>
        <v>371.39</v>
      </c>
    </row>
    <row r="206" spans="1:7" x14ac:dyDescent="0.2">
      <c r="A206" s="8" t="s">
        <v>388</v>
      </c>
      <c r="B206" s="8">
        <v>33</v>
      </c>
      <c r="C206" s="8">
        <v>300</v>
      </c>
      <c r="D206" s="9">
        <v>1800</v>
      </c>
      <c r="E206" s="2" t="s">
        <v>389</v>
      </c>
      <c r="F206" s="10">
        <v>393.13</v>
      </c>
      <c r="G206" s="11">
        <f>(R_C)*393.13</f>
        <v>393.13</v>
      </c>
    </row>
    <row r="207" spans="1:7" x14ac:dyDescent="0.2">
      <c r="A207" s="8" t="s">
        <v>390</v>
      </c>
      <c r="B207" s="8">
        <v>33</v>
      </c>
      <c r="C207" s="8">
        <v>300</v>
      </c>
      <c r="D207" s="9">
        <v>2000</v>
      </c>
      <c r="E207" s="2" t="s">
        <v>391</v>
      </c>
      <c r="F207" s="10">
        <v>433.5</v>
      </c>
      <c r="G207" s="11">
        <f>(R_C)*433.5</f>
        <v>433.5</v>
      </c>
    </row>
    <row r="208" spans="1:7" x14ac:dyDescent="0.2">
      <c r="A208" s="8" t="s">
        <v>392</v>
      </c>
      <c r="B208" s="8">
        <v>33</v>
      </c>
      <c r="C208" s="8">
        <v>300</v>
      </c>
      <c r="D208" s="9">
        <v>2300</v>
      </c>
      <c r="E208" s="2" t="s">
        <v>393</v>
      </c>
      <c r="F208" s="10">
        <v>480.53</v>
      </c>
      <c r="G208" s="11">
        <f>(R_C)*480.53</f>
        <v>480.53</v>
      </c>
    </row>
    <row r="209" spans="1:7" x14ac:dyDescent="0.2">
      <c r="A209" s="8" t="s">
        <v>394</v>
      </c>
      <c r="B209" s="8">
        <v>33</v>
      </c>
      <c r="C209" s="8">
        <v>300</v>
      </c>
      <c r="D209" s="9">
        <v>2600</v>
      </c>
      <c r="E209" s="2" t="s">
        <v>395</v>
      </c>
      <c r="F209" s="10">
        <v>526.79999999999995</v>
      </c>
      <c r="G209" s="11">
        <f>(R_C)*526.8</f>
        <v>526.79999999999995</v>
      </c>
    </row>
    <row r="210" spans="1:7" x14ac:dyDescent="0.2">
      <c r="A210" s="8" t="s">
        <v>396</v>
      </c>
      <c r="B210" s="8">
        <v>33</v>
      </c>
      <c r="C210" s="8">
        <v>300</v>
      </c>
      <c r="D210" s="9">
        <v>3000</v>
      </c>
      <c r="E210" s="2" t="s">
        <v>397</v>
      </c>
      <c r="F210" s="10">
        <v>575.23</v>
      </c>
      <c r="G210" s="11">
        <f>(R_C)*575.23</f>
        <v>575.23</v>
      </c>
    </row>
    <row r="211" spans="1:7" x14ac:dyDescent="0.2">
      <c r="A211" s="8" t="s">
        <v>398</v>
      </c>
      <c r="B211" s="8">
        <v>33</v>
      </c>
      <c r="C211" s="8">
        <v>400</v>
      </c>
      <c r="D211" s="9">
        <v>400</v>
      </c>
      <c r="E211" s="2" t="s">
        <v>399</v>
      </c>
      <c r="F211" s="10">
        <v>200.74</v>
      </c>
      <c r="G211" s="11">
        <f>(R_C)*200.74</f>
        <v>200.74</v>
      </c>
    </row>
    <row r="212" spans="1:7" x14ac:dyDescent="0.2">
      <c r="A212" s="8" t="s">
        <v>400</v>
      </c>
      <c r="B212" s="8">
        <v>33</v>
      </c>
      <c r="C212" s="8">
        <v>400</v>
      </c>
      <c r="D212" s="9">
        <v>500</v>
      </c>
      <c r="E212" s="2" t="s">
        <v>401</v>
      </c>
      <c r="F212" s="10">
        <v>215.15</v>
      </c>
      <c r="G212" s="11">
        <f>(R_C)*215.15</f>
        <v>215.15</v>
      </c>
    </row>
    <row r="213" spans="1:7" x14ac:dyDescent="0.2">
      <c r="A213" s="8" t="s">
        <v>402</v>
      </c>
      <c r="B213" s="8">
        <v>33</v>
      </c>
      <c r="C213" s="8">
        <v>400</v>
      </c>
      <c r="D213" s="9">
        <v>600</v>
      </c>
      <c r="E213" s="2" t="s">
        <v>403</v>
      </c>
      <c r="F213" s="10">
        <v>230.24</v>
      </c>
      <c r="G213" s="11">
        <f>(R_C)*230.24</f>
        <v>230.24</v>
      </c>
    </row>
    <row r="214" spans="1:7" x14ac:dyDescent="0.2">
      <c r="A214" s="8" t="s">
        <v>404</v>
      </c>
      <c r="B214" s="8">
        <v>33</v>
      </c>
      <c r="C214" s="8">
        <v>400</v>
      </c>
      <c r="D214" s="9">
        <v>800</v>
      </c>
      <c r="E214" s="2" t="s">
        <v>405</v>
      </c>
      <c r="F214" s="10">
        <v>264.68</v>
      </c>
      <c r="G214" s="11">
        <f>(R_C)*264.68</f>
        <v>264.68</v>
      </c>
    </row>
    <row r="215" spans="1:7" x14ac:dyDescent="0.2">
      <c r="A215" s="8" t="s">
        <v>406</v>
      </c>
      <c r="B215" s="8">
        <v>33</v>
      </c>
      <c r="C215" s="8">
        <v>400</v>
      </c>
      <c r="D215" s="9">
        <v>1000</v>
      </c>
      <c r="E215" s="2" t="s">
        <v>407</v>
      </c>
      <c r="F215" s="10">
        <v>303.2</v>
      </c>
      <c r="G215" s="11">
        <f>(R_C)*303.2</f>
        <v>303.2</v>
      </c>
    </row>
    <row r="216" spans="1:7" x14ac:dyDescent="0.2">
      <c r="A216" s="8" t="s">
        <v>408</v>
      </c>
      <c r="B216" s="8">
        <v>33</v>
      </c>
      <c r="C216" s="8">
        <v>400</v>
      </c>
      <c r="D216" s="9">
        <v>1200</v>
      </c>
      <c r="E216" s="2" t="s">
        <v>409</v>
      </c>
      <c r="F216" s="10">
        <v>341.47</v>
      </c>
      <c r="G216" s="11">
        <f>(R_C)*341.47</f>
        <v>341.47</v>
      </c>
    </row>
    <row r="217" spans="1:7" x14ac:dyDescent="0.2">
      <c r="A217" s="8" t="s">
        <v>410</v>
      </c>
      <c r="B217" s="8">
        <v>33</v>
      </c>
      <c r="C217" s="8">
        <v>400</v>
      </c>
      <c r="D217" s="9">
        <v>1400</v>
      </c>
      <c r="E217" s="2" t="s">
        <v>411</v>
      </c>
      <c r="F217" s="10">
        <v>380.46</v>
      </c>
      <c r="G217" s="11">
        <f>(R_C)*380.46</f>
        <v>380.46</v>
      </c>
    </row>
    <row r="218" spans="1:7" x14ac:dyDescent="0.2">
      <c r="A218" s="8" t="s">
        <v>412</v>
      </c>
      <c r="B218" s="8">
        <v>33</v>
      </c>
      <c r="C218" s="8">
        <v>400</v>
      </c>
      <c r="D218" s="9">
        <v>1600</v>
      </c>
      <c r="E218" s="2" t="s">
        <v>413</v>
      </c>
      <c r="F218" s="10">
        <v>418.41</v>
      </c>
      <c r="G218" s="11">
        <f>(R_C)*418.41</f>
        <v>418.41</v>
      </c>
    </row>
    <row r="219" spans="1:7" x14ac:dyDescent="0.2">
      <c r="A219" s="8" t="s">
        <v>414</v>
      </c>
      <c r="B219" s="8">
        <v>33</v>
      </c>
      <c r="C219" s="8">
        <v>400</v>
      </c>
      <c r="D219" s="9">
        <v>1800</v>
      </c>
      <c r="E219" s="2" t="s">
        <v>415</v>
      </c>
      <c r="F219" s="10">
        <v>456.92</v>
      </c>
      <c r="G219" s="11">
        <f>(R_C)*456.92</f>
        <v>456.92</v>
      </c>
    </row>
    <row r="220" spans="1:7" x14ac:dyDescent="0.2">
      <c r="A220" s="8" t="s">
        <v>416</v>
      </c>
      <c r="B220" s="8">
        <v>33</v>
      </c>
      <c r="C220" s="8">
        <v>400</v>
      </c>
      <c r="D220" s="9">
        <v>2000</v>
      </c>
      <c r="E220" s="2" t="s">
        <v>417</v>
      </c>
      <c r="F220" s="10">
        <v>495.59</v>
      </c>
      <c r="G220" s="11">
        <f>(R_C)*495.59</f>
        <v>495.59</v>
      </c>
    </row>
    <row r="221" spans="1:7" x14ac:dyDescent="0.2">
      <c r="A221" s="8" t="s">
        <v>418</v>
      </c>
      <c r="B221" s="8">
        <v>33</v>
      </c>
      <c r="C221" s="8">
        <v>400</v>
      </c>
      <c r="D221" s="9">
        <v>2300</v>
      </c>
      <c r="E221" s="2" t="s">
        <v>419</v>
      </c>
      <c r="F221" s="10">
        <v>553.05999999999995</v>
      </c>
      <c r="G221" s="11">
        <f>(R_C)*553.06</f>
        <v>553.05999999999995</v>
      </c>
    </row>
    <row r="222" spans="1:7" x14ac:dyDescent="0.2">
      <c r="A222" s="8" t="s">
        <v>420</v>
      </c>
      <c r="B222" s="8">
        <v>33</v>
      </c>
      <c r="C222" s="8">
        <v>400</v>
      </c>
      <c r="D222" s="9">
        <v>2600</v>
      </c>
      <c r="E222" s="2" t="s">
        <v>421</v>
      </c>
      <c r="F222" s="10">
        <v>610.39</v>
      </c>
      <c r="G222" s="11">
        <f>(R_C)*610.39</f>
        <v>610.39</v>
      </c>
    </row>
    <row r="223" spans="1:7" x14ac:dyDescent="0.2">
      <c r="A223" s="8" t="s">
        <v>422</v>
      </c>
      <c r="B223" s="8">
        <v>33</v>
      </c>
      <c r="C223" s="8">
        <v>400</v>
      </c>
      <c r="D223" s="9">
        <v>3000</v>
      </c>
      <c r="E223" s="2" t="s">
        <v>423</v>
      </c>
      <c r="F223" s="10">
        <v>672.48</v>
      </c>
      <c r="G223" s="11">
        <f>(R_C)*672.48</f>
        <v>672.48</v>
      </c>
    </row>
    <row r="224" spans="1:7" x14ac:dyDescent="0.2">
      <c r="A224" s="8" t="s">
        <v>424</v>
      </c>
      <c r="B224" s="8">
        <v>33</v>
      </c>
      <c r="C224" s="8">
        <v>500</v>
      </c>
      <c r="D224" s="9">
        <v>400</v>
      </c>
      <c r="E224" s="2" t="s">
        <v>425</v>
      </c>
      <c r="F224" s="10">
        <v>229.5</v>
      </c>
      <c r="G224" s="11">
        <f>(R_C)*229.5</f>
        <v>229.5</v>
      </c>
    </row>
    <row r="225" spans="1:7" x14ac:dyDescent="0.2">
      <c r="A225" s="8" t="s">
        <v>426</v>
      </c>
      <c r="B225" s="8">
        <v>33</v>
      </c>
      <c r="C225" s="8">
        <v>500</v>
      </c>
      <c r="D225" s="9">
        <v>500</v>
      </c>
      <c r="E225" s="2" t="s">
        <v>427</v>
      </c>
      <c r="F225" s="10">
        <v>247.78</v>
      </c>
      <c r="G225" s="11">
        <f>(R_C)*247.78</f>
        <v>247.78</v>
      </c>
    </row>
    <row r="226" spans="1:7" x14ac:dyDescent="0.2">
      <c r="A226" s="8" t="s">
        <v>428</v>
      </c>
      <c r="B226" s="8">
        <v>33</v>
      </c>
      <c r="C226" s="8">
        <v>500</v>
      </c>
      <c r="D226" s="9">
        <v>600</v>
      </c>
      <c r="E226" s="2" t="s">
        <v>429</v>
      </c>
      <c r="F226" s="10">
        <v>266.79000000000002</v>
      </c>
      <c r="G226" s="11">
        <f>(R_C)*266.79</f>
        <v>266.79000000000002</v>
      </c>
    </row>
    <row r="227" spans="1:7" x14ac:dyDescent="0.2">
      <c r="A227" s="8" t="s">
        <v>430</v>
      </c>
      <c r="B227" s="8">
        <v>33</v>
      </c>
      <c r="C227" s="8">
        <v>500</v>
      </c>
      <c r="D227" s="9">
        <v>800</v>
      </c>
      <c r="E227" s="2" t="s">
        <v>431</v>
      </c>
      <c r="F227" s="10">
        <v>309.88</v>
      </c>
      <c r="G227" s="11">
        <f>(R_C)*309.88</f>
        <v>309.88</v>
      </c>
    </row>
    <row r="228" spans="1:7" x14ac:dyDescent="0.2">
      <c r="A228" s="8" t="s">
        <v>432</v>
      </c>
      <c r="B228" s="8">
        <v>33</v>
      </c>
      <c r="C228" s="8">
        <v>500</v>
      </c>
      <c r="D228" s="9">
        <v>1000</v>
      </c>
      <c r="E228" s="2" t="s">
        <v>433</v>
      </c>
      <c r="F228" s="10">
        <v>356.56</v>
      </c>
      <c r="G228" s="11">
        <f>(R_C)*356.56</f>
        <v>356.56</v>
      </c>
    </row>
    <row r="229" spans="1:7" x14ac:dyDescent="0.2">
      <c r="A229" s="8" t="s">
        <v>434</v>
      </c>
      <c r="B229" s="8">
        <v>33</v>
      </c>
      <c r="C229" s="8">
        <v>500</v>
      </c>
      <c r="D229" s="9">
        <v>1200</v>
      </c>
      <c r="E229" s="2" t="s">
        <v>435</v>
      </c>
      <c r="F229" s="10">
        <v>404.02</v>
      </c>
      <c r="G229" s="11">
        <f>(R_C)*404.02</f>
        <v>404.02</v>
      </c>
    </row>
    <row r="230" spans="1:7" x14ac:dyDescent="0.2">
      <c r="A230" s="8" t="s">
        <v>436</v>
      </c>
      <c r="B230" s="8">
        <v>33</v>
      </c>
      <c r="C230" s="8">
        <v>500</v>
      </c>
      <c r="D230" s="9">
        <v>1400</v>
      </c>
      <c r="E230" s="2" t="s">
        <v>437</v>
      </c>
      <c r="F230" s="10">
        <v>450.27</v>
      </c>
      <c r="G230" s="11">
        <f>(R_C)*450.27</f>
        <v>450.27</v>
      </c>
    </row>
    <row r="231" spans="1:7" x14ac:dyDescent="0.2">
      <c r="A231" s="8" t="s">
        <v>438</v>
      </c>
      <c r="B231" s="8">
        <v>33</v>
      </c>
      <c r="C231" s="8">
        <v>500</v>
      </c>
      <c r="D231" s="9">
        <v>1600</v>
      </c>
      <c r="E231" s="2" t="s">
        <v>439</v>
      </c>
      <c r="F231" s="10">
        <v>497.7</v>
      </c>
      <c r="G231" s="11">
        <f>(R_C)*497.7</f>
        <v>497.7</v>
      </c>
    </row>
    <row r="232" spans="1:7" x14ac:dyDescent="0.2">
      <c r="A232" s="8" t="s">
        <v>440</v>
      </c>
      <c r="B232" s="8">
        <v>33</v>
      </c>
      <c r="C232" s="8">
        <v>500</v>
      </c>
      <c r="D232" s="9">
        <v>1800</v>
      </c>
      <c r="E232" s="2" t="s">
        <v>441</v>
      </c>
      <c r="F232" s="10">
        <v>545</v>
      </c>
      <c r="G232" s="11">
        <f>(R_C)*545</f>
        <v>545</v>
      </c>
    </row>
    <row r="233" spans="1:7" x14ac:dyDescent="0.2">
      <c r="A233" s="8" t="s">
        <v>442</v>
      </c>
      <c r="B233" s="8">
        <v>33</v>
      </c>
      <c r="C233" s="8">
        <v>500</v>
      </c>
      <c r="D233" s="9">
        <v>2000</v>
      </c>
      <c r="E233" s="2" t="s">
        <v>443</v>
      </c>
      <c r="F233" s="10">
        <v>591.75</v>
      </c>
      <c r="G233" s="11">
        <f>(R_C)*591.75</f>
        <v>591.75</v>
      </c>
    </row>
    <row r="234" spans="1:7" x14ac:dyDescent="0.2">
      <c r="A234" s="8" t="s">
        <v>444</v>
      </c>
      <c r="B234" s="8">
        <v>33</v>
      </c>
      <c r="C234" s="8">
        <v>500</v>
      </c>
      <c r="D234" s="9">
        <v>2300</v>
      </c>
      <c r="E234" s="2" t="s">
        <v>445</v>
      </c>
      <c r="F234" s="10">
        <v>662.63</v>
      </c>
      <c r="G234" s="11">
        <f>(R_C)*662.63</f>
        <v>662.63</v>
      </c>
    </row>
    <row r="235" spans="1:7" x14ac:dyDescent="0.2">
      <c r="A235" s="8" t="s">
        <v>446</v>
      </c>
      <c r="B235" s="8">
        <v>33</v>
      </c>
      <c r="C235" s="8">
        <v>500</v>
      </c>
      <c r="D235" s="9">
        <v>2600</v>
      </c>
      <c r="E235" s="2" t="s">
        <v>447</v>
      </c>
      <c r="F235" s="10">
        <v>733.19</v>
      </c>
      <c r="G235" s="11">
        <f>(R_C)*733.19</f>
        <v>733.19</v>
      </c>
    </row>
    <row r="236" spans="1:7" x14ac:dyDescent="0.2">
      <c r="A236" s="8" t="s">
        <v>448</v>
      </c>
      <c r="B236" s="8">
        <v>33</v>
      </c>
      <c r="C236" s="8">
        <v>500</v>
      </c>
      <c r="D236" s="9">
        <v>3000</v>
      </c>
      <c r="E236" s="2" t="s">
        <v>449</v>
      </c>
      <c r="F236" s="10">
        <v>810.4</v>
      </c>
      <c r="G236" s="11">
        <f>(R_C)*810.4</f>
        <v>810.4</v>
      </c>
    </row>
    <row r="237" spans="1:7" x14ac:dyDescent="0.2">
      <c r="A237" s="8" t="s">
        <v>450</v>
      </c>
      <c r="B237" s="8">
        <v>33</v>
      </c>
      <c r="C237" s="8">
        <v>600</v>
      </c>
      <c r="D237" s="9">
        <v>400</v>
      </c>
      <c r="E237" s="2" t="s">
        <v>451</v>
      </c>
      <c r="F237" s="10">
        <v>243.21</v>
      </c>
      <c r="G237" s="11">
        <f>(R_C)*243.21</f>
        <v>243.21</v>
      </c>
    </row>
    <row r="238" spans="1:7" x14ac:dyDescent="0.2">
      <c r="A238" s="8" t="s">
        <v>452</v>
      </c>
      <c r="B238" s="8">
        <v>33</v>
      </c>
      <c r="C238" s="8">
        <v>600</v>
      </c>
      <c r="D238" s="9">
        <v>500</v>
      </c>
      <c r="E238" s="2" t="s">
        <v>453</v>
      </c>
      <c r="F238" s="10">
        <v>262.85000000000002</v>
      </c>
      <c r="G238" s="11">
        <f>(R_C)*262.85</f>
        <v>262.85000000000002</v>
      </c>
    </row>
    <row r="239" spans="1:7" x14ac:dyDescent="0.2">
      <c r="A239" s="8" t="s">
        <v>454</v>
      </c>
      <c r="B239" s="8">
        <v>33</v>
      </c>
      <c r="C239" s="8">
        <v>600</v>
      </c>
      <c r="D239" s="9">
        <v>600</v>
      </c>
      <c r="E239" s="2" t="s">
        <v>455</v>
      </c>
      <c r="F239" s="10">
        <v>283.88</v>
      </c>
      <c r="G239" s="11">
        <f>(R_C)*283.88</f>
        <v>283.88</v>
      </c>
    </row>
    <row r="240" spans="1:7" x14ac:dyDescent="0.2">
      <c r="A240" s="8" t="s">
        <v>456</v>
      </c>
      <c r="B240" s="8">
        <v>33</v>
      </c>
      <c r="C240" s="8">
        <v>600</v>
      </c>
      <c r="D240" s="9">
        <v>800</v>
      </c>
      <c r="E240" s="2" t="s">
        <v>457</v>
      </c>
      <c r="F240" s="10">
        <v>331.01</v>
      </c>
      <c r="G240" s="11">
        <f>(R_C)*331.01</f>
        <v>331.01</v>
      </c>
    </row>
    <row r="241" spans="1:7" x14ac:dyDescent="0.2">
      <c r="A241" s="8" t="s">
        <v>458</v>
      </c>
      <c r="B241" s="8">
        <v>33</v>
      </c>
      <c r="C241" s="8">
        <v>600</v>
      </c>
      <c r="D241" s="9">
        <v>1000</v>
      </c>
      <c r="E241" s="2" t="s">
        <v>459</v>
      </c>
      <c r="F241" s="10">
        <v>382.96</v>
      </c>
      <c r="G241" s="11">
        <f>(R_C)*382.96</f>
        <v>382.96</v>
      </c>
    </row>
    <row r="242" spans="1:7" x14ac:dyDescent="0.2">
      <c r="A242" s="8" t="s">
        <v>460</v>
      </c>
      <c r="B242" s="8">
        <v>33</v>
      </c>
      <c r="C242" s="8">
        <v>600</v>
      </c>
      <c r="D242" s="9">
        <v>1200</v>
      </c>
      <c r="E242" s="2" t="s">
        <v>461</v>
      </c>
      <c r="F242" s="10">
        <v>435.57</v>
      </c>
      <c r="G242" s="11">
        <f>(R_C)*435.57</f>
        <v>435.57</v>
      </c>
    </row>
    <row r="243" spans="1:7" x14ac:dyDescent="0.2">
      <c r="A243" s="8" t="s">
        <v>462</v>
      </c>
      <c r="B243" s="8">
        <v>33</v>
      </c>
      <c r="C243" s="8">
        <v>600</v>
      </c>
      <c r="D243" s="9">
        <v>1400</v>
      </c>
      <c r="E243" s="2" t="s">
        <v>463</v>
      </c>
      <c r="F243" s="10">
        <v>487.43</v>
      </c>
      <c r="G243" s="11">
        <f>(R_C)*487.43</f>
        <v>487.43</v>
      </c>
    </row>
    <row r="244" spans="1:7" x14ac:dyDescent="0.2">
      <c r="A244" s="8" t="s">
        <v>464</v>
      </c>
      <c r="B244" s="8">
        <v>33</v>
      </c>
      <c r="C244" s="8">
        <v>600</v>
      </c>
      <c r="D244" s="9">
        <v>1600</v>
      </c>
      <c r="E244" s="2" t="s">
        <v>465</v>
      </c>
      <c r="F244" s="10">
        <v>539.80999999999995</v>
      </c>
      <c r="G244" s="11">
        <f>(R_C)*539.81</f>
        <v>539.80999999999995</v>
      </c>
    </row>
    <row r="245" spans="1:7" x14ac:dyDescent="0.2">
      <c r="A245" s="8" t="s">
        <v>466</v>
      </c>
      <c r="B245" s="8">
        <v>33</v>
      </c>
      <c r="C245" s="8">
        <v>600</v>
      </c>
      <c r="D245" s="9">
        <v>1800</v>
      </c>
      <c r="E245" s="2" t="s">
        <v>467</v>
      </c>
      <c r="F245" s="10">
        <v>592.44000000000005</v>
      </c>
      <c r="G245" s="11">
        <f>(R_C)*592.44</f>
        <v>592.44000000000005</v>
      </c>
    </row>
    <row r="246" spans="1:7" x14ac:dyDescent="0.2">
      <c r="A246" s="8" t="s">
        <v>468</v>
      </c>
      <c r="B246" s="8">
        <v>33</v>
      </c>
      <c r="C246" s="8">
        <v>600</v>
      </c>
      <c r="D246" s="9">
        <v>2000</v>
      </c>
      <c r="E246" s="2" t="s">
        <v>469</v>
      </c>
      <c r="F246" s="10">
        <v>643.98</v>
      </c>
      <c r="G246" s="11">
        <f>(R_C)*643.98</f>
        <v>643.98</v>
      </c>
    </row>
    <row r="247" spans="1:7" x14ac:dyDescent="0.2">
      <c r="A247" s="8" t="s">
        <v>470</v>
      </c>
      <c r="B247" s="8">
        <v>33</v>
      </c>
      <c r="C247" s="8">
        <v>600</v>
      </c>
      <c r="D247" s="9">
        <v>2300</v>
      </c>
      <c r="E247" s="2" t="s">
        <v>471</v>
      </c>
      <c r="F247" s="10">
        <v>723.01</v>
      </c>
      <c r="G247" s="11">
        <f>(R_C)*723.01</f>
        <v>723.01</v>
      </c>
    </row>
    <row r="248" spans="1:7" x14ac:dyDescent="0.2">
      <c r="A248" s="8" t="s">
        <v>472</v>
      </c>
      <c r="B248" s="8">
        <v>33</v>
      </c>
      <c r="C248" s="8">
        <v>600</v>
      </c>
      <c r="D248" s="9">
        <v>2600</v>
      </c>
      <c r="E248" s="2" t="s">
        <v>473</v>
      </c>
      <c r="F248" s="10">
        <v>801.61</v>
      </c>
      <c r="G248" s="11">
        <f>(R_C)*801.61</f>
        <v>801.61</v>
      </c>
    </row>
    <row r="249" spans="1:7" x14ac:dyDescent="0.2">
      <c r="A249" s="8" t="s">
        <v>474</v>
      </c>
      <c r="B249" s="8">
        <v>33</v>
      </c>
      <c r="C249" s="8">
        <v>600</v>
      </c>
      <c r="D249" s="9">
        <v>3000</v>
      </c>
      <c r="E249" s="2" t="s">
        <v>475</v>
      </c>
      <c r="F249" s="10">
        <v>888.31</v>
      </c>
      <c r="G249" s="11">
        <f>(R_C)*888.31</f>
        <v>888.31</v>
      </c>
    </row>
    <row r="250" spans="1:7" x14ac:dyDescent="0.2">
      <c r="A250" s="8" t="s">
        <v>476</v>
      </c>
      <c r="B250" s="8">
        <v>33</v>
      </c>
      <c r="C250" s="8">
        <v>900</v>
      </c>
      <c r="D250" s="9">
        <v>400</v>
      </c>
      <c r="E250" s="2" t="s">
        <v>477</v>
      </c>
      <c r="F250" s="10">
        <v>252.66</v>
      </c>
      <c r="G250" s="11">
        <f>(R_C)*252.66</f>
        <v>252.66</v>
      </c>
    </row>
    <row r="251" spans="1:7" x14ac:dyDescent="0.2">
      <c r="A251" s="8" t="s">
        <v>478</v>
      </c>
      <c r="B251" s="8">
        <v>33</v>
      </c>
      <c r="C251" s="8">
        <v>900</v>
      </c>
      <c r="D251" s="9">
        <v>500</v>
      </c>
      <c r="E251" s="2" t="s">
        <v>479</v>
      </c>
      <c r="F251" s="10">
        <v>286.68</v>
      </c>
      <c r="G251" s="11">
        <f>(R_C)*286.68</f>
        <v>286.68</v>
      </c>
    </row>
    <row r="252" spans="1:7" x14ac:dyDescent="0.2">
      <c r="A252" s="8" t="s">
        <v>480</v>
      </c>
      <c r="B252" s="8">
        <v>33</v>
      </c>
      <c r="C252" s="8">
        <v>900</v>
      </c>
      <c r="D252" s="9">
        <v>600</v>
      </c>
      <c r="E252" s="2" t="s">
        <v>481</v>
      </c>
      <c r="F252" s="10">
        <v>325.41000000000003</v>
      </c>
      <c r="G252" s="11">
        <f>(R_C)*325.41</f>
        <v>325.41000000000003</v>
      </c>
    </row>
    <row r="253" spans="1:7" x14ac:dyDescent="0.2">
      <c r="A253" s="8" t="s">
        <v>482</v>
      </c>
      <c r="B253" s="8">
        <v>33</v>
      </c>
      <c r="C253" s="8">
        <v>900</v>
      </c>
      <c r="D253" s="9">
        <v>800</v>
      </c>
      <c r="E253" s="2" t="s">
        <v>483</v>
      </c>
      <c r="F253" s="10">
        <v>417.24</v>
      </c>
      <c r="G253" s="11">
        <f>(R_C)*417.24</f>
        <v>417.24</v>
      </c>
    </row>
    <row r="254" spans="1:7" x14ac:dyDescent="0.2">
      <c r="A254" s="8" t="s">
        <v>484</v>
      </c>
      <c r="B254" s="8">
        <v>33</v>
      </c>
      <c r="C254" s="8">
        <v>900</v>
      </c>
      <c r="D254" s="9">
        <v>1000</v>
      </c>
      <c r="E254" s="2" t="s">
        <v>485</v>
      </c>
      <c r="F254" s="10">
        <v>479.08</v>
      </c>
      <c r="G254" s="11">
        <f>(R_C)*479.08</f>
        <v>479.08</v>
      </c>
    </row>
    <row r="255" spans="1:7" x14ac:dyDescent="0.2">
      <c r="A255" s="8" t="s">
        <v>486</v>
      </c>
      <c r="B255" s="8">
        <v>33</v>
      </c>
      <c r="C255" s="8">
        <v>900</v>
      </c>
      <c r="D255" s="9">
        <v>1200</v>
      </c>
      <c r="E255" s="2" t="s">
        <v>487</v>
      </c>
      <c r="F255" s="10">
        <v>549.92999999999995</v>
      </c>
      <c r="G255" s="11">
        <f>(R_C)*549.93</f>
        <v>549.92999999999995</v>
      </c>
    </row>
    <row r="256" spans="1:7" x14ac:dyDescent="0.2">
      <c r="A256" s="8" t="s">
        <v>488</v>
      </c>
      <c r="B256" s="8">
        <v>33</v>
      </c>
      <c r="C256" s="8">
        <v>900</v>
      </c>
      <c r="D256" s="9">
        <v>1400</v>
      </c>
      <c r="E256" s="2" t="s">
        <v>489</v>
      </c>
      <c r="F256" s="10">
        <v>613.45000000000005</v>
      </c>
      <c r="G256" s="11">
        <f>(R_C)*613.45</f>
        <v>613.45000000000005</v>
      </c>
    </row>
    <row r="257" spans="1:7" x14ac:dyDescent="0.2">
      <c r="A257" s="8" t="s">
        <v>490</v>
      </c>
      <c r="B257" s="8">
        <v>33</v>
      </c>
      <c r="C257" s="8">
        <v>900</v>
      </c>
      <c r="D257" s="9">
        <v>1600</v>
      </c>
      <c r="E257" s="2" t="s">
        <v>491</v>
      </c>
      <c r="F257" s="10">
        <v>675.55</v>
      </c>
      <c r="G257" s="11">
        <f>(R_C)*675.55</f>
        <v>675.55</v>
      </c>
    </row>
    <row r="258" spans="1:7" x14ac:dyDescent="0.2">
      <c r="A258" s="8" t="s">
        <v>492</v>
      </c>
      <c r="B258" s="8">
        <v>33</v>
      </c>
      <c r="C258" s="8">
        <v>900</v>
      </c>
      <c r="D258" s="9">
        <v>1800</v>
      </c>
      <c r="E258" s="2" t="s">
        <v>493</v>
      </c>
      <c r="F258" s="10">
        <v>744.03</v>
      </c>
      <c r="G258" s="11">
        <f>(R_C)*744.03</f>
        <v>744.03</v>
      </c>
    </row>
    <row r="259" spans="1:7" x14ac:dyDescent="0.2">
      <c r="A259" s="8" t="s">
        <v>494</v>
      </c>
      <c r="B259" s="8">
        <v>33</v>
      </c>
      <c r="C259" s="8">
        <v>900</v>
      </c>
      <c r="D259" s="9">
        <v>2000</v>
      </c>
      <c r="E259" s="2" t="s">
        <v>495</v>
      </c>
      <c r="F259" s="10">
        <v>804.01</v>
      </c>
      <c r="G259" s="11">
        <f>(R_C)*804.01</f>
        <v>804.01</v>
      </c>
    </row>
    <row r="260" spans="1:7" x14ac:dyDescent="0.2"/>
    <row r="261" spans="1:7" x14ac:dyDescent="0.2"/>
  </sheetData>
  <autoFilter ref="A11:J259"/>
  <hyperlinks>
    <hyperlink ref="O24" r:id="rId1"/>
    <hyperlink ref="C3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pane ySplit="10" topLeftCell="A11" activePane="bottomLeft" state="frozen"/>
      <selection activeCell="A2" sqref="A2"/>
      <selection pane="bottomLeft" activeCell="G9" sqref="G9"/>
    </sheetView>
  </sheetViews>
  <sheetFormatPr defaultColWidth="0" defaultRowHeight="12.75" zeroHeight="1" x14ac:dyDescent="0.2"/>
  <cols>
    <col min="1" max="1" width="15.28515625" style="2" customWidth="1"/>
    <col min="2" max="2" width="11.28515625" style="2" customWidth="1"/>
    <col min="3" max="3" width="11.85546875" style="2" bestFit="1" customWidth="1"/>
    <col min="4" max="4" width="11.42578125" style="2" customWidth="1"/>
    <col min="5" max="5" width="21.85546875" style="2" bestFit="1" customWidth="1"/>
    <col min="6" max="6" width="18.85546875" style="2" bestFit="1" customWidth="1"/>
    <col min="7" max="7" width="21.28515625" style="2" customWidth="1"/>
    <col min="8" max="8" width="9.140625" style="2" hidden="1" customWidth="1"/>
    <col min="9" max="9" width="10.85546875" style="2" hidden="1" customWidth="1"/>
    <col min="10" max="10" width="11.5703125" style="2" hidden="1" customWidth="1"/>
    <col min="11" max="12" width="9.140625" style="2" customWidth="1"/>
    <col min="13" max="15" width="0" style="2" hidden="1"/>
    <col min="16" max="16384" width="9.140625" style="2" hidden="1"/>
  </cols>
  <sheetData>
    <row r="1" spans="1:11" s="22" customFormat="1" ht="18" x14ac:dyDescent="0.25">
      <c r="A1" s="16" t="s">
        <v>5338</v>
      </c>
      <c r="B1" s="17"/>
      <c r="C1" s="18"/>
      <c r="D1" s="17"/>
      <c r="E1" s="19"/>
      <c r="F1" s="19"/>
      <c r="G1" s="20" t="s">
        <v>5340</v>
      </c>
      <c r="H1" s="17"/>
      <c r="I1" s="20" t="s">
        <v>5340</v>
      </c>
      <c r="J1" s="21"/>
      <c r="K1" s="21"/>
    </row>
    <row r="2" spans="1:11" s="22" customFormat="1" x14ac:dyDescent="0.2">
      <c r="A2" s="17" t="s">
        <v>5341</v>
      </c>
      <c r="B2" s="17"/>
      <c r="C2" s="18"/>
      <c r="D2" s="17"/>
      <c r="E2" s="19"/>
      <c r="F2" s="19"/>
      <c r="G2" s="19"/>
      <c r="H2" s="17"/>
      <c r="I2" s="17"/>
      <c r="J2" s="21"/>
      <c r="K2" s="21"/>
    </row>
    <row r="3" spans="1:11" s="22" customFormat="1" x14ac:dyDescent="0.2">
      <c r="A3" s="17" t="s">
        <v>5342</v>
      </c>
      <c r="B3" s="17"/>
      <c r="C3" s="23" t="s">
        <v>5343</v>
      </c>
      <c r="E3" s="19"/>
      <c r="F3" s="19"/>
      <c r="G3" s="17"/>
      <c r="H3" s="17"/>
      <c r="I3" s="17"/>
      <c r="J3" s="21"/>
      <c r="K3" s="21"/>
    </row>
    <row r="4" spans="1:11" s="22" customFormat="1" x14ac:dyDescent="0.2">
      <c r="A4" s="17"/>
      <c r="B4" s="17"/>
      <c r="C4" s="18"/>
      <c r="D4" s="24"/>
      <c r="E4" s="19"/>
      <c r="F4" s="19"/>
      <c r="G4" s="19"/>
      <c r="H4" s="17"/>
      <c r="I4" s="17"/>
      <c r="J4" s="21"/>
      <c r="K4" s="21"/>
    </row>
    <row r="5" spans="1:11" s="22" customFormat="1" ht="21" customHeight="1" x14ac:dyDescent="0.25">
      <c r="A5" s="25" t="s">
        <v>5344</v>
      </c>
      <c r="B5" s="25"/>
      <c r="C5" s="26"/>
      <c r="D5" s="25"/>
      <c r="E5" s="25"/>
      <c r="F5" s="25"/>
      <c r="G5" s="27" t="s">
        <v>5345</v>
      </c>
      <c r="H5" s="25"/>
      <c r="I5" s="27" t="s">
        <v>5345</v>
      </c>
      <c r="J5" s="21"/>
      <c r="K5" s="21"/>
    </row>
    <row r="6" spans="1:11" s="22" customFormat="1" ht="12.95" customHeight="1" x14ac:dyDescent="0.25">
      <c r="A6" s="17"/>
      <c r="B6" s="17"/>
      <c r="C6" s="18"/>
      <c r="D6" s="17"/>
      <c r="E6" s="28"/>
      <c r="F6" s="19"/>
      <c r="G6" s="29"/>
      <c r="H6" s="17"/>
      <c r="I6" s="17"/>
      <c r="J6" s="21"/>
      <c r="K6" s="21"/>
    </row>
    <row r="7" spans="1:11" s="35" customFormat="1" ht="28.5" customHeight="1" x14ac:dyDescent="0.2">
      <c r="A7" s="30" t="s">
        <v>5351</v>
      </c>
      <c r="B7" s="30"/>
      <c r="C7" s="31"/>
      <c r="D7" s="30"/>
      <c r="E7" s="32"/>
      <c r="F7" s="33"/>
      <c r="G7" s="34"/>
      <c r="H7" s="34"/>
      <c r="J7" s="36"/>
      <c r="K7" s="36"/>
    </row>
    <row r="8" spans="1:11" x14ac:dyDescent="0.2"/>
    <row r="9" spans="1:11" ht="21" customHeight="1" x14ac:dyDescent="0.2">
      <c r="A9" s="1" t="s">
        <v>5331</v>
      </c>
      <c r="F9" s="3" t="s">
        <v>5337</v>
      </c>
      <c r="G9" s="4">
        <v>0</v>
      </c>
      <c r="H9" s="5">
        <f>(1-G9)</f>
        <v>1</v>
      </c>
      <c r="I9" s="5"/>
      <c r="J9" s="5"/>
    </row>
    <row r="10" spans="1:11" s="8" customFormat="1" x14ac:dyDescent="0.2">
      <c r="A10" s="6" t="s">
        <v>5326</v>
      </c>
      <c r="B10" s="6" t="s">
        <v>5332</v>
      </c>
      <c r="C10" s="6" t="s">
        <v>5333</v>
      </c>
      <c r="D10" s="6" t="s">
        <v>5334</v>
      </c>
      <c r="E10" s="6" t="s">
        <v>5327</v>
      </c>
      <c r="F10" s="6" t="s">
        <v>5329</v>
      </c>
      <c r="G10" s="7" t="s">
        <v>5330</v>
      </c>
      <c r="I10" s="8" t="s">
        <v>5261</v>
      </c>
      <c r="J10" s="8" t="s">
        <v>5260</v>
      </c>
    </row>
    <row r="11" spans="1:11" x14ac:dyDescent="0.2">
      <c r="A11" s="9" t="s">
        <v>2888</v>
      </c>
      <c r="B11" s="9">
        <v>11</v>
      </c>
      <c r="C11" s="9">
        <v>300</v>
      </c>
      <c r="D11" s="9">
        <v>400</v>
      </c>
      <c r="E11" s="2" t="s">
        <v>2889</v>
      </c>
      <c r="F11" s="10">
        <v>134.21</v>
      </c>
      <c r="G11" s="11">
        <f>(RCVM)*134.21</f>
        <v>134.21</v>
      </c>
    </row>
    <row r="12" spans="1:11" x14ac:dyDescent="0.2">
      <c r="A12" s="9" t="s">
        <v>2890</v>
      </c>
      <c r="B12" s="9">
        <v>11</v>
      </c>
      <c r="C12" s="9">
        <v>300</v>
      </c>
      <c r="D12" s="9">
        <v>500</v>
      </c>
      <c r="E12" s="2" t="s">
        <v>2891</v>
      </c>
      <c r="F12" s="10">
        <v>139.11000000000001</v>
      </c>
      <c r="G12" s="11">
        <f>(RCVM)*139.11</f>
        <v>139.11000000000001</v>
      </c>
    </row>
    <row r="13" spans="1:11" x14ac:dyDescent="0.2">
      <c r="A13" s="9" t="s">
        <v>2892</v>
      </c>
      <c r="B13" s="9">
        <v>11</v>
      </c>
      <c r="C13" s="9">
        <v>300</v>
      </c>
      <c r="D13" s="9">
        <v>600</v>
      </c>
      <c r="E13" s="2" t="s">
        <v>2893</v>
      </c>
      <c r="F13" s="10">
        <v>144.49</v>
      </c>
      <c r="G13" s="11">
        <f>(RCVM)*144.49</f>
        <v>144.49</v>
      </c>
    </row>
    <row r="14" spans="1:11" x14ac:dyDescent="0.2">
      <c r="A14" s="9" t="s">
        <v>2894</v>
      </c>
      <c r="B14" s="9">
        <v>11</v>
      </c>
      <c r="C14" s="9">
        <v>300</v>
      </c>
      <c r="D14" s="9">
        <v>800</v>
      </c>
      <c r="E14" s="2" t="s">
        <v>2895</v>
      </c>
      <c r="F14" s="10">
        <v>153.19999999999999</v>
      </c>
      <c r="G14" s="11">
        <f>(RCVM)*153.2</f>
        <v>153.19999999999999</v>
      </c>
    </row>
    <row r="15" spans="1:11" x14ac:dyDescent="0.2">
      <c r="A15" s="9" t="s">
        <v>2896</v>
      </c>
      <c r="B15" s="9">
        <v>11</v>
      </c>
      <c r="C15" s="9">
        <v>300</v>
      </c>
      <c r="D15" s="9">
        <v>1000</v>
      </c>
      <c r="E15" s="2" t="s">
        <v>2897</v>
      </c>
      <c r="F15" s="10">
        <v>164.47</v>
      </c>
      <c r="G15" s="11">
        <f>(RCVM)*164.47</f>
        <v>164.47</v>
      </c>
    </row>
    <row r="16" spans="1:11" x14ac:dyDescent="0.2">
      <c r="A16" s="9" t="s">
        <v>2898</v>
      </c>
      <c r="B16" s="9">
        <v>11</v>
      </c>
      <c r="C16" s="9">
        <v>300</v>
      </c>
      <c r="D16" s="9">
        <v>1200</v>
      </c>
      <c r="E16" s="2" t="s">
        <v>2899</v>
      </c>
      <c r="F16" s="10">
        <v>180.53</v>
      </c>
      <c r="G16" s="11">
        <f>(RCVM)*180.53</f>
        <v>180.53</v>
      </c>
    </row>
    <row r="17" spans="1:7" x14ac:dyDescent="0.2">
      <c r="A17" s="9" t="s">
        <v>2900</v>
      </c>
      <c r="B17" s="9">
        <v>11</v>
      </c>
      <c r="C17" s="9">
        <v>300</v>
      </c>
      <c r="D17" s="9">
        <v>1400</v>
      </c>
      <c r="E17" s="2" t="s">
        <v>2901</v>
      </c>
      <c r="F17" s="10">
        <v>206.38</v>
      </c>
      <c r="G17" s="11">
        <f>(RCVM)*206.38</f>
        <v>206.38</v>
      </c>
    </row>
    <row r="18" spans="1:7" x14ac:dyDescent="0.2">
      <c r="A18" s="9" t="s">
        <v>2902</v>
      </c>
      <c r="B18" s="9">
        <v>11</v>
      </c>
      <c r="C18" s="9">
        <v>300</v>
      </c>
      <c r="D18" s="9">
        <v>1600</v>
      </c>
      <c r="E18" s="2" t="s">
        <v>2903</v>
      </c>
      <c r="F18" s="10">
        <v>218.98</v>
      </c>
      <c r="G18" s="11">
        <f>(RCVM)*218.98</f>
        <v>218.98</v>
      </c>
    </row>
    <row r="19" spans="1:7" x14ac:dyDescent="0.2">
      <c r="A19" s="9" t="s">
        <v>2904</v>
      </c>
      <c r="B19" s="9">
        <v>11</v>
      </c>
      <c r="C19" s="9">
        <v>300</v>
      </c>
      <c r="D19" s="9">
        <v>1800</v>
      </c>
      <c r="E19" s="2" t="s">
        <v>2905</v>
      </c>
      <c r="F19" s="10">
        <v>239.45</v>
      </c>
      <c r="G19" s="11">
        <f>(RCVM)*239.45</f>
        <v>239.45</v>
      </c>
    </row>
    <row r="20" spans="1:7" x14ac:dyDescent="0.2">
      <c r="A20" s="9" t="s">
        <v>2906</v>
      </c>
      <c r="B20" s="9">
        <v>11</v>
      </c>
      <c r="C20" s="9">
        <v>300</v>
      </c>
      <c r="D20" s="9">
        <v>2000</v>
      </c>
      <c r="E20" s="2" t="s">
        <v>2907</v>
      </c>
      <c r="F20" s="10">
        <v>251.88</v>
      </c>
      <c r="G20" s="11">
        <f>(RCVM)*251.88</f>
        <v>251.88</v>
      </c>
    </row>
    <row r="21" spans="1:7" x14ac:dyDescent="0.2">
      <c r="A21" s="9" t="s">
        <v>2908</v>
      </c>
      <c r="B21" s="9">
        <v>11</v>
      </c>
      <c r="C21" s="9">
        <v>300</v>
      </c>
      <c r="D21" s="9">
        <v>2300</v>
      </c>
      <c r="E21" s="2" t="s">
        <v>2909</v>
      </c>
      <c r="F21" s="10">
        <v>274.64999999999998</v>
      </c>
      <c r="G21" s="11">
        <f>(RCVM)*274.65</f>
        <v>274.64999999999998</v>
      </c>
    </row>
    <row r="22" spans="1:7" x14ac:dyDescent="0.2">
      <c r="A22" s="9" t="s">
        <v>2910</v>
      </c>
      <c r="B22" s="9">
        <v>11</v>
      </c>
      <c r="C22" s="9">
        <v>300</v>
      </c>
      <c r="D22" s="9">
        <v>2600</v>
      </c>
      <c r="E22" s="2" t="s">
        <v>2911</v>
      </c>
      <c r="F22" s="10">
        <v>294.11</v>
      </c>
      <c r="G22" s="11">
        <f>(RCVM)*294.11</f>
        <v>294.11</v>
      </c>
    </row>
    <row r="23" spans="1:7" x14ac:dyDescent="0.2">
      <c r="A23" s="9" t="s">
        <v>2912</v>
      </c>
      <c r="B23" s="9">
        <v>11</v>
      </c>
      <c r="C23" s="9">
        <v>300</v>
      </c>
      <c r="D23" s="9">
        <v>3000</v>
      </c>
      <c r="E23" s="2" t="s">
        <v>2913</v>
      </c>
      <c r="F23" s="10">
        <v>330.11</v>
      </c>
      <c r="G23" s="11">
        <f>(RCVM)*330.11</f>
        <v>330.11</v>
      </c>
    </row>
    <row r="24" spans="1:7" x14ac:dyDescent="0.2">
      <c r="A24" s="9" t="s">
        <v>2914</v>
      </c>
      <c r="B24" s="9">
        <v>11</v>
      </c>
      <c r="C24" s="9">
        <v>500</v>
      </c>
      <c r="D24" s="9">
        <v>400</v>
      </c>
      <c r="E24" s="2" t="s">
        <v>2915</v>
      </c>
      <c r="F24" s="10">
        <v>142.41</v>
      </c>
      <c r="G24" s="11">
        <f>(RCVM)*142.41</f>
        <v>142.41</v>
      </c>
    </row>
    <row r="25" spans="1:7" x14ac:dyDescent="0.2">
      <c r="A25" s="9" t="s">
        <v>2916</v>
      </c>
      <c r="B25" s="9">
        <v>11</v>
      </c>
      <c r="C25" s="9">
        <v>500</v>
      </c>
      <c r="D25" s="9">
        <v>500</v>
      </c>
      <c r="E25" s="2" t="s">
        <v>2917</v>
      </c>
      <c r="F25" s="10">
        <v>150.22999999999999</v>
      </c>
      <c r="G25" s="11">
        <f>(RCVM)*150.23</f>
        <v>150.22999999999999</v>
      </c>
    </row>
    <row r="26" spans="1:7" x14ac:dyDescent="0.2">
      <c r="A26" s="9" t="s">
        <v>2918</v>
      </c>
      <c r="B26" s="9">
        <v>11</v>
      </c>
      <c r="C26" s="9">
        <v>500</v>
      </c>
      <c r="D26" s="9">
        <v>600</v>
      </c>
      <c r="E26" s="2" t="s">
        <v>2919</v>
      </c>
      <c r="F26" s="10">
        <v>158.6</v>
      </c>
      <c r="G26" s="11">
        <f>(RCVM)*158.6</f>
        <v>158.6</v>
      </c>
    </row>
    <row r="27" spans="1:7" x14ac:dyDescent="0.2">
      <c r="A27" s="9" t="s">
        <v>2920</v>
      </c>
      <c r="B27" s="9">
        <v>11</v>
      </c>
      <c r="C27" s="9">
        <v>500</v>
      </c>
      <c r="D27" s="9">
        <v>800</v>
      </c>
      <c r="E27" s="2" t="s">
        <v>2921</v>
      </c>
      <c r="F27" s="10">
        <v>175.12</v>
      </c>
      <c r="G27" s="11">
        <f>(RCVM)*175.12</f>
        <v>175.12</v>
      </c>
    </row>
    <row r="28" spans="1:7" x14ac:dyDescent="0.2">
      <c r="A28" s="9" t="s">
        <v>2922</v>
      </c>
      <c r="B28" s="9">
        <v>11</v>
      </c>
      <c r="C28" s="9">
        <v>500</v>
      </c>
      <c r="D28" s="9">
        <v>1000</v>
      </c>
      <c r="E28" s="2" t="s">
        <v>2923</v>
      </c>
      <c r="F28" s="10">
        <v>194.6</v>
      </c>
      <c r="G28" s="11">
        <f>(RCVM)*194.6</f>
        <v>194.6</v>
      </c>
    </row>
    <row r="29" spans="1:7" x14ac:dyDescent="0.2">
      <c r="A29" s="9" t="s">
        <v>2924</v>
      </c>
      <c r="B29" s="9">
        <v>11</v>
      </c>
      <c r="C29" s="9">
        <v>500</v>
      </c>
      <c r="D29" s="9">
        <v>1200</v>
      </c>
      <c r="E29" s="2" t="s">
        <v>2925</v>
      </c>
      <c r="F29" s="10">
        <v>214.24</v>
      </c>
      <c r="G29" s="11">
        <f>(RCVM)*214.24</f>
        <v>214.24</v>
      </c>
    </row>
    <row r="30" spans="1:7" x14ac:dyDescent="0.2">
      <c r="A30" s="9" t="s">
        <v>2926</v>
      </c>
      <c r="B30" s="9">
        <v>11</v>
      </c>
      <c r="C30" s="9">
        <v>500</v>
      </c>
      <c r="D30" s="9">
        <v>1400</v>
      </c>
      <c r="E30" s="2" t="s">
        <v>2927</v>
      </c>
      <c r="F30" s="10">
        <v>234.83</v>
      </c>
      <c r="G30" s="11">
        <f>(RCVM)*234.83</f>
        <v>234.83</v>
      </c>
    </row>
    <row r="31" spans="1:7" x14ac:dyDescent="0.2">
      <c r="A31" s="9" t="s">
        <v>2928</v>
      </c>
      <c r="B31" s="9">
        <v>11</v>
      </c>
      <c r="C31" s="9">
        <v>500</v>
      </c>
      <c r="D31" s="9">
        <v>1600</v>
      </c>
      <c r="E31" s="2" t="s">
        <v>2929</v>
      </c>
      <c r="F31" s="10">
        <v>255.49</v>
      </c>
      <c r="G31" s="11">
        <f>(RCVM)*255.49</f>
        <v>255.49</v>
      </c>
    </row>
    <row r="32" spans="1:7" x14ac:dyDescent="0.2">
      <c r="A32" s="9" t="s">
        <v>2930</v>
      </c>
      <c r="B32" s="9">
        <v>11</v>
      </c>
      <c r="C32" s="9">
        <v>500</v>
      </c>
      <c r="D32" s="9">
        <v>1800</v>
      </c>
      <c r="E32" s="2" t="s">
        <v>2931</v>
      </c>
      <c r="F32" s="10">
        <v>275.77999999999997</v>
      </c>
      <c r="G32" s="11">
        <f>(RCVM)*275.78</f>
        <v>275.77999999999997</v>
      </c>
    </row>
    <row r="33" spans="1:7" x14ac:dyDescent="0.2">
      <c r="A33" s="9" t="s">
        <v>2932</v>
      </c>
      <c r="B33" s="9">
        <v>11</v>
      </c>
      <c r="C33" s="9">
        <v>500</v>
      </c>
      <c r="D33" s="9">
        <v>2000</v>
      </c>
      <c r="E33" s="2" t="s">
        <v>2933</v>
      </c>
      <c r="F33" s="10">
        <v>297.39</v>
      </c>
      <c r="G33" s="11">
        <f>(RCVM)*297.39</f>
        <v>297.39</v>
      </c>
    </row>
    <row r="34" spans="1:7" x14ac:dyDescent="0.2">
      <c r="A34" s="9" t="s">
        <v>2934</v>
      </c>
      <c r="B34" s="9">
        <v>11</v>
      </c>
      <c r="C34" s="9">
        <v>500</v>
      </c>
      <c r="D34" s="9">
        <v>2300</v>
      </c>
      <c r="E34" s="2" t="s">
        <v>2935</v>
      </c>
      <c r="F34" s="10">
        <v>327.97</v>
      </c>
      <c r="G34" s="11">
        <f>(RCVM)*327.97</f>
        <v>327.97</v>
      </c>
    </row>
    <row r="35" spans="1:7" x14ac:dyDescent="0.2">
      <c r="A35" s="9" t="s">
        <v>2936</v>
      </c>
      <c r="B35" s="9">
        <v>11</v>
      </c>
      <c r="C35" s="9">
        <v>500</v>
      </c>
      <c r="D35" s="9">
        <v>2600</v>
      </c>
      <c r="E35" s="2" t="s">
        <v>2937</v>
      </c>
      <c r="F35" s="10">
        <v>359.07</v>
      </c>
      <c r="G35" s="11">
        <f>(RCVM)*359.07</f>
        <v>359.07</v>
      </c>
    </row>
    <row r="36" spans="1:7" x14ac:dyDescent="0.2">
      <c r="A36" s="9" t="s">
        <v>2938</v>
      </c>
      <c r="B36" s="9">
        <v>11</v>
      </c>
      <c r="C36" s="9">
        <v>500</v>
      </c>
      <c r="D36" s="9">
        <v>3000</v>
      </c>
      <c r="E36" s="2" t="s">
        <v>2939</v>
      </c>
      <c r="F36" s="10">
        <v>400.8</v>
      </c>
      <c r="G36" s="11">
        <f>(RCVM)*400.8</f>
        <v>400.8</v>
      </c>
    </row>
    <row r="37" spans="1:7" x14ac:dyDescent="0.2">
      <c r="A37" s="9" t="s">
        <v>2940</v>
      </c>
      <c r="B37" s="9">
        <v>11</v>
      </c>
      <c r="C37" s="9">
        <v>600</v>
      </c>
      <c r="D37" s="9">
        <v>400</v>
      </c>
      <c r="E37" s="2" t="s">
        <v>2941</v>
      </c>
      <c r="F37" s="10">
        <v>158.28</v>
      </c>
      <c r="G37" s="11">
        <f>(RCVM)*158.28</f>
        <v>158.28</v>
      </c>
    </row>
    <row r="38" spans="1:7" x14ac:dyDescent="0.2">
      <c r="A38" s="9" t="s">
        <v>2942</v>
      </c>
      <c r="B38" s="9">
        <v>11</v>
      </c>
      <c r="C38" s="9">
        <v>600</v>
      </c>
      <c r="D38" s="9">
        <v>500</v>
      </c>
      <c r="E38" s="2" t="s">
        <v>2943</v>
      </c>
      <c r="F38" s="10">
        <v>161.09</v>
      </c>
      <c r="G38" s="11">
        <f>(RCVM)*161.09</f>
        <v>161.09</v>
      </c>
    </row>
    <row r="39" spans="1:7" x14ac:dyDescent="0.2">
      <c r="A39" s="9" t="s">
        <v>2944</v>
      </c>
      <c r="B39" s="9">
        <v>11</v>
      </c>
      <c r="C39" s="9">
        <v>600</v>
      </c>
      <c r="D39" s="9">
        <v>600</v>
      </c>
      <c r="E39" s="2" t="s">
        <v>2945</v>
      </c>
      <c r="F39" s="10">
        <v>169.76</v>
      </c>
      <c r="G39" s="11">
        <f>(RCVM)*169.76</f>
        <v>169.76</v>
      </c>
    </row>
    <row r="40" spans="1:7" x14ac:dyDescent="0.2">
      <c r="A40" s="9" t="s">
        <v>2946</v>
      </c>
      <c r="B40" s="9">
        <v>11</v>
      </c>
      <c r="C40" s="9">
        <v>600</v>
      </c>
      <c r="D40" s="9">
        <v>800</v>
      </c>
      <c r="E40" s="2" t="s">
        <v>2947</v>
      </c>
      <c r="F40" s="10">
        <v>187.07</v>
      </c>
      <c r="G40" s="11">
        <f>(RCVM)*187.07</f>
        <v>187.07</v>
      </c>
    </row>
    <row r="41" spans="1:7" ht="12.95" customHeight="1" x14ac:dyDescent="0.2">
      <c r="A41" s="9" t="s">
        <v>2948</v>
      </c>
      <c r="B41" s="9">
        <v>11</v>
      </c>
      <c r="C41" s="9">
        <v>600</v>
      </c>
      <c r="D41" s="9">
        <v>1000</v>
      </c>
      <c r="E41" s="2" t="s">
        <v>2949</v>
      </c>
      <c r="F41" s="10">
        <v>205.19</v>
      </c>
      <c r="G41" s="11">
        <f>(RCVM)*205.19</f>
        <v>205.19</v>
      </c>
    </row>
    <row r="42" spans="1:7" x14ac:dyDescent="0.2">
      <c r="A42" s="9" t="s">
        <v>2950</v>
      </c>
      <c r="B42" s="9">
        <v>11</v>
      </c>
      <c r="C42" s="9">
        <v>600</v>
      </c>
      <c r="D42" s="9">
        <v>1200</v>
      </c>
      <c r="E42" s="2" t="s">
        <v>2951</v>
      </c>
      <c r="F42" s="10">
        <v>226.82</v>
      </c>
      <c r="G42" s="11">
        <f>(RCVM)*226.82</f>
        <v>226.82</v>
      </c>
    </row>
    <row r="43" spans="1:7" x14ac:dyDescent="0.2">
      <c r="A43" s="9" t="s">
        <v>2952</v>
      </c>
      <c r="B43" s="9">
        <v>11</v>
      </c>
      <c r="C43" s="9">
        <v>600</v>
      </c>
      <c r="D43" s="9">
        <v>1400</v>
      </c>
      <c r="E43" s="2" t="s">
        <v>2953</v>
      </c>
      <c r="F43" s="10">
        <v>248.87</v>
      </c>
      <c r="G43" s="11">
        <f>(RCVM)*248.87</f>
        <v>248.87</v>
      </c>
    </row>
    <row r="44" spans="1:7" x14ac:dyDescent="0.2">
      <c r="A44" s="9" t="s">
        <v>2954</v>
      </c>
      <c r="B44" s="9">
        <v>11</v>
      </c>
      <c r="C44" s="9">
        <v>600</v>
      </c>
      <c r="D44" s="9">
        <v>1600</v>
      </c>
      <c r="E44" s="2" t="s">
        <v>2955</v>
      </c>
      <c r="F44" s="10">
        <v>277.44</v>
      </c>
      <c r="G44" s="11">
        <f>(RCVM)*277.44</f>
        <v>277.44</v>
      </c>
    </row>
    <row r="45" spans="1:7" x14ac:dyDescent="0.2">
      <c r="A45" s="9" t="s">
        <v>2956</v>
      </c>
      <c r="B45" s="9">
        <v>11</v>
      </c>
      <c r="C45" s="9">
        <v>600</v>
      </c>
      <c r="D45" s="9">
        <v>1800</v>
      </c>
      <c r="E45" s="2" t="s">
        <v>2957</v>
      </c>
      <c r="F45" s="10">
        <v>305.33999999999997</v>
      </c>
      <c r="G45" s="11">
        <f>(RCVM)*305.34</f>
        <v>305.33999999999997</v>
      </c>
    </row>
    <row r="46" spans="1:7" x14ac:dyDescent="0.2">
      <c r="A46" s="9" t="s">
        <v>2958</v>
      </c>
      <c r="B46" s="9">
        <v>11</v>
      </c>
      <c r="C46" s="9">
        <v>600</v>
      </c>
      <c r="D46" s="9">
        <v>2000</v>
      </c>
      <c r="E46" s="2" t="s">
        <v>2959</v>
      </c>
      <c r="F46" s="10">
        <v>325.54000000000002</v>
      </c>
      <c r="G46" s="11">
        <f>(RCVM)*325.54</f>
        <v>325.54000000000002</v>
      </c>
    </row>
    <row r="47" spans="1:7" x14ac:dyDescent="0.2">
      <c r="A47" s="9" t="s">
        <v>2960</v>
      </c>
      <c r="B47" s="9">
        <v>11</v>
      </c>
      <c r="C47" s="9">
        <v>600</v>
      </c>
      <c r="D47" s="9">
        <v>2300</v>
      </c>
      <c r="E47" s="2" t="s">
        <v>2961</v>
      </c>
      <c r="F47" s="10">
        <v>359.7</v>
      </c>
      <c r="G47" s="11">
        <f>(RCVM)*359.7</f>
        <v>359.7</v>
      </c>
    </row>
    <row r="48" spans="1:7" x14ac:dyDescent="0.2">
      <c r="A48" s="9" t="s">
        <v>2962</v>
      </c>
      <c r="B48" s="9">
        <v>11</v>
      </c>
      <c r="C48" s="9">
        <v>600</v>
      </c>
      <c r="D48" s="9">
        <v>2600</v>
      </c>
      <c r="E48" s="2" t="s">
        <v>2963</v>
      </c>
      <c r="F48" s="10">
        <v>400.52</v>
      </c>
      <c r="G48" s="11">
        <f>(RCVM)*400.52</f>
        <v>400.52</v>
      </c>
    </row>
    <row r="49" spans="1:7" x14ac:dyDescent="0.2">
      <c r="A49" s="9" t="s">
        <v>2964</v>
      </c>
      <c r="B49" s="9">
        <v>11</v>
      </c>
      <c r="C49" s="9">
        <v>600</v>
      </c>
      <c r="D49" s="9">
        <v>3000</v>
      </c>
      <c r="E49" s="2" t="s">
        <v>2965</v>
      </c>
      <c r="F49" s="10">
        <v>441.37</v>
      </c>
      <c r="G49" s="11">
        <f>(RCVM)*441.37</f>
        <v>441.37</v>
      </c>
    </row>
    <row r="50" spans="1:7" x14ac:dyDescent="0.2">
      <c r="A50" s="9" t="s">
        <v>2966</v>
      </c>
      <c r="B50" s="9">
        <v>11</v>
      </c>
      <c r="C50" s="9">
        <v>900</v>
      </c>
      <c r="D50" s="9">
        <v>400</v>
      </c>
      <c r="E50" s="2" t="s">
        <v>2967</v>
      </c>
      <c r="F50" s="10">
        <v>173.17</v>
      </c>
      <c r="G50" s="11">
        <f>(RCVM)*173.17</f>
        <v>173.17</v>
      </c>
    </row>
    <row r="51" spans="1:7" x14ac:dyDescent="0.2">
      <c r="A51" s="9" t="s">
        <v>2968</v>
      </c>
      <c r="B51" s="9">
        <v>11</v>
      </c>
      <c r="C51" s="9">
        <v>900</v>
      </c>
      <c r="D51" s="9">
        <v>500</v>
      </c>
      <c r="E51" s="2" t="s">
        <v>2969</v>
      </c>
      <c r="F51" s="10">
        <v>186.26</v>
      </c>
      <c r="G51" s="11">
        <f>(RCVM)*186.26</f>
        <v>186.26</v>
      </c>
    </row>
    <row r="52" spans="1:7" x14ac:dyDescent="0.2">
      <c r="A52" s="9" t="s">
        <v>2970</v>
      </c>
      <c r="B52" s="9">
        <v>11</v>
      </c>
      <c r="C52" s="9">
        <v>900</v>
      </c>
      <c r="D52" s="9">
        <v>600</v>
      </c>
      <c r="E52" s="2" t="s">
        <v>2971</v>
      </c>
      <c r="F52" s="10">
        <v>200.49</v>
      </c>
      <c r="G52" s="11">
        <f>(RCVM)*200.49</f>
        <v>200.49</v>
      </c>
    </row>
    <row r="53" spans="1:7" x14ac:dyDescent="0.2">
      <c r="A53" s="9" t="s">
        <v>2972</v>
      </c>
      <c r="B53" s="9">
        <v>11</v>
      </c>
      <c r="C53" s="9">
        <v>900</v>
      </c>
      <c r="D53" s="9">
        <v>800</v>
      </c>
      <c r="E53" s="2" t="s">
        <v>2973</v>
      </c>
      <c r="F53" s="10">
        <v>225.93</v>
      </c>
      <c r="G53" s="11">
        <f>(RCVM)*225.93</f>
        <v>225.93</v>
      </c>
    </row>
    <row r="54" spans="1:7" x14ac:dyDescent="0.2">
      <c r="A54" s="9" t="s">
        <v>2974</v>
      </c>
      <c r="B54" s="9">
        <v>11</v>
      </c>
      <c r="C54" s="9">
        <v>900</v>
      </c>
      <c r="D54" s="9">
        <v>1000</v>
      </c>
      <c r="E54" s="2" t="s">
        <v>2975</v>
      </c>
      <c r="F54" s="10">
        <v>254.68</v>
      </c>
      <c r="G54" s="11">
        <f>(RCVM)*254.68</f>
        <v>254.68</v>
      </c>
    </row>
    <row r="55" spans="1:7" x14ac:dyDescent="0.2">
      <c r="A55" s="9" t="s">
        <v>2976</v>
      </c>
      <c r="B55" s="9">
        <v>11</v>
      </c>
      <c r="C55" s="9">
        <v>900</v>
      </c>
      <c r="D55" s="9">
        <v>1200</v>
      </c>
      <c r="E55" s="2" t="s">
        <v>2977</v>
      </c>
      <c r="F55" s="10">
        <v>287.83</v>
      </c>
      <c r="G55" s="11">
        <f>(RCVM)*287.83</f>
        <v>287.83</v>
      </c>
    </row>
    <row r="56" spans="1:7" x14ac:dyDescent="0.2">
      <c r="A56" s="9" t="s">
        <v>2978</v>
      </c>
      <c r="B56" s="9">
        <v>11</v>
      </c>
      <c r="C56" s="9">
        <v>900</v>
      </c>
      <c r="D56" s="9">
        <v>1400</v>
      </c>
      <c r="E56" s="2" t="s">
        <v>2979</v>
      </c>
      <c r="F56" s="10">
        <v>322.56</v>
      </c>
      <c r="G56" s="11">
        <f>(RCVM)*322.56</f>
        <v>322.56</v>
      </c>
    </row>
    <row r="57" spans="1:7" x14ac:dyDescent="0.2">
      <c r="A57" s="9" t="s">
        <v>2980</v>
      </c>
      <c r="B57" s="9">
        <v>11</v>
      </c>
      <c r="C57" s="9">
        <v>900</v>
      </c>
      <c r="D57" s="9">
        <v>1600</v>
      </c>
      <c r="E57" s="2" t="s">
        <v>2981</v>
      </c>
      <c r="F57" s="10">
        <v>356.14</v>
      </c>
      <c r="G57" s="11">
        <f>(RCVM)*356.14</f>
        <v>356.14</v>
      </c>
    </row>
    <row r="58" spans="1:7" x14ac:dyDescent="0.2">
      <c r="A58" s="9" t="s">
        <v>2982</v>
      </c>
      <c r="B58" s="9">
        <v>11</v>
      </c>
      <c r="C58" s="9">
        <v>900</v>
      </c>
      <c r="D58" s="9">
        <v>1800</v>
      </c>
      <c r="E58" s="2" t="s">
        <v>2983</v>
      </c>
      <c r="F58" s="10">
        <v>391.41</v>
      </c>
      <c r="G58" s="11">
        <f>(RCVM)*391.41</f>
        <v>391.41</v>
      </c>
    </row>
    <row r="59" spans="1:7" x14ac:dyDescent="0.2">
      <c r="A59" s="9" t="s">
        <v>2984</v>
      </c>
      <c r="B59" s="9">
        <v>11</v>
      </c>
      <c r="C59" s="9">
        <v>900</v>
      </c>
      <c r="D59" s="9">
        <v>2000</v>
      </c>
      <c r="E59" s="2" t="s">
        <v>2985</v>
      </c>
      <c r="F59" s="10">
        <v>425</v>
      </c>
      <c r="G59" s="11">
        <f>(RCVM)*425</f>
        <v>425</v>
      </c>
    </row>
    <row r="60" spans="1:7" x14ac:dyDescent="0.2">
      <c r="A60" s="9" t="s">
        <v>2986</v>
      </c>
      <c r="B60" s="9">
        <v>21</v>
      </c>
      <c r="C60" s="9">
        <v>300</v>
      </c>
      <c r="D60" s="9">
        <v>400</v>
      </c>
      <c r="E60" s="2" t="s">
        <v>2987</v>
      </c>
      <c r="F60" s="10">
        <v>156.51</v>
      </c>
      <c r="G60" s="11">
        <f>(RCVM)*156.51</f>
        <v>156.51</v>
      </c>
    </row>
    <row r="61" spans="1:7" x14ac:dyDescent="0.2">
      <c r="A61" s="9" t="s">
        <v>2988</v>
      </c>
      <c r="B61" s="9">
        <v>21</v>
      </c>
      <c r="C61" s="9">
        <v>300</v>
      </c>
      <c r="D61" s="9">
        <v>500</v>
      </c>
      <c r="E61" s="2" t="s">
        <v>2989</v>
      </c>
      <c r="F61" s="10">
        <v>172.73</v>
      </c>
      <c r="G61" s="11">
        <f>(RCVM)*172.73</f>
        <v>172.73</v>
      </c>
    </row>
    <row r="62" spans="1:7" x14ac:dyDescent="0.2">
      <c r="A62" s="9" t="s">
        <v>2990</v>
      </c>
      <c r="B62" s="9">
        <v>21</v>
      </c>
      <c r="C62" s="9">
        <v>300</v>
      </c>
      <c r="D62" s="9">
        <v>600</v>
      </c>
      <c r="E62" s="2" t="s">
        <v>2991</v>
      </c>
      <c r="F62" s="10">
        <v>186.26</v>
      </c>
      <c r="G62" s="11">
        <f>(RCVM)*186.26</f>
        <v>186.26</v>
      </c>
    </row>
    <row r="63" spans="1:7" x14ac:dyDescent="0.2">
      <c r="A63" s="9" t="s">
        <v>2992</v>
      </c>
      <c r="B63" s="9">
        <v>21</v>
      </c>
      <c r="C63" s="9">
        <v>300</v>
      </c>
      <c r="D63" s="9">
        <v>800</v>
      </c>
      <c r="E63" s="2" t="s">
        <v>2993</v>
      </c>
      <c r="F63" s="10">
        <v>212.32</v>
      </c>
      <c r="G63" s="11">
        <f>(RCVM)*212.32</f>
        <v>212.32</v>
      </c>
    </row>
    <row r="64" spans="1:7" x14ac:dyDescent="0.2">
      <c r="A64" s="9" t="s">
        <v>2994</v>
      </c>
      <c r="B64" s="9">
        <v>21</v>
      </c>
      <c r="C64" s="9">
        <v>300</v>
      </c>
      <c r="D64" s="9">
        <v>1000</v>
      </c>
      <c r="E64" s="2" t="s">
        <v>2995</v>
      </c>
      <c r="F64" s="10">
        <v>236.46</v>
      </c>
      <c r="G64" s="11">
        <f>(RCVM)*236.46</f>
        <v>236.46</v>
      </c>
    </row>
    <row r="65" spans="1:7" x14ac:dyDescent="0.2">
      <c r="A65" s="9" t="s">
        <v>2996</v>
      </c>
      <c r="B65" s="9">
        <v>21</v>
      </c>
      <c r="C65" s="9">
        <v>300</v>
      </c>
      <c r="D65" s="9">
        <v>1200</v>
      </c>
      <c r="E65" s="2" t="s">
        <v>2997</v>
      </c>
      <c r="F65" s="10">
        <v>260.22000000000003</v>
      </c>
      <c r="G65" s="11">
        <f>(RCVM)*260.22</f>
        <v>260.22000000000003</v>
      </c>
    </row>
    <row r="66" spans="1:7" x14ac:dyDescent="0.2">
      <c r="A66" s="9" t="s">
        <v>2998</v>
      </c>
      <c r="B66" s="9">
        <v>21</v>
      </c>
      <c r="C66" s="9">
        <v>300</v>
      </c>
      <c r="D66" s="9">
        <v>1400</v>
      </c>
      <c r="E66" s="2" t="s">
        <v>2999</v>
      </c>
      <c r="F66" s="10">
        <v>284.14</v>
      </c>
      <c r="G66" s="11">
        <f>(RCVM)*284.14</f>
        <v>284.14</v>
      </c>
    </row>
    <row r="67" spans="1:7" x14ac:dyDescent="0.2">
      <c r="A67" s="9" t="s">
        <v>3000</v>
      </c>
      <c r="B67" s="9">
        <v>21</v>
      </c>
      <c r="C67" s="9">
        <v>300</v>
      </c>
      <c r="D67" s="9">
        <v>1600</v>
      </c>
      <c r="E67" s="2" t="s">
        <v>3001</v>
      </c>
      <c r="F67" s="10">
        <v>308.61</v>
      </c>
      <c r="G67" s="11">
        <f>(RCVM)*308.61</f>
        <v>308.61</v>
      </c>
    </row>
    <row r="68" spans="1:7" x14ac:dyDescent="0.2">
      <c r="A68" s="9" t="s">
        <v>3002</v>
      </c>
      <c r="B68" s="9">
        <v>21</v>
      </c>
      <c r="C68" s="9">
        <v>300</v>
      </c>
      <c r="D68" s="9">
        <v>1800</v>
      </c>
      <c r="E68" s="2" t="s">
        <v>3003</v>
      </c>
      <c r="F68" s="10">
        <v>334.36</v>
      </c>
      <c r="G68" s="11">
        <f>(RCVM)*334.36</f>
        <v>334.36</v>
      </c>
    </row>
    <row r="69" spans="1:7" x14ac:dyDescent="0.2">
      <c r="A69" s="9" t="s">
        <v>3004</v>
      </c>
      <c r="B69" s="9">
        <v>21</v>
      </c>
      <c r="C69" s="9">
        <v>300</v>
      </c>
      <c r="D69" s="9">
        <v>2000</v>
      </c>
      <c r="E69" s="2" t="s">
        <v>3005</v>
      </c>
      <c r="F69" s="10">
        <v>357.27</v>
      </c>
      <c r="G69" s="11">
        <f>(RCVM)*357.27</f>
        <v>357.27</v>
      </c>
    </row>
    <row r="70" spans="1:7" x14ac:dyDescent="0.2">
      <c r="A70" s="9" t="s">
        <v>3006</v>
      </c>
      <c r="B70" s="9">
        <v>21</v>
      </c>
      <c r="C70" s="9">
        <v>300</v>
      </c>
      <c r="D70" s="9">
        <v>2300</v>
      </c>
      <c r="E70" s="2" t="s">
        <v>3007</v>
      </c>
      <c r="F70" s="10">
        <v>394.26</v>
      </c>
      <c r="G70" s="11">
        <f>(RCVM)*394.26</f>
        <v>394.26</v>
      </c>
    </row>
    <row r="71" spans="1:7" x14ac:dyDescent="0.2">
      <c r="A71" s="9" t="s">
        <v>3008</v>
      </c>
      <c r="B71" s="9">
        <v>21</v>
      </c>
      <c r="C71" s="9">
        <v>300</v>
      </c>
      <c r="D71" s="9">
        <v>2600</v>
      </c>
      <c r="E71" s="2" t="s">
        <v>3009</v>
      </c>
      <c r="F71" s="10">
        <v>436.8</v>
      </c>
      <c r="G71" s="11">
        <f>(RCVM)*436.8</f>
        <v>436.8</v>
      </c>
    </row>
    <row r="72" spans="1:7" x14ac:dyDescent="0.2">
      <c r="A72" s="9" t="s">
        <v>3010</v>
      </c>
      <c r="B72" s="9">
        <v>21</v>
      </c>
      <c r="C72" s="9">
        <v>300</v>
      </c>
      <c r="D72" s="9">
        <v>3000</v>
      </c>
      <c r="E72" s="2" t="s">
        <v>3011</v>
      </c>
      <c r="F72" s="10">
        <v>479.37</v>
      </c>
      <c r="G72" s="11">
        <f>(RCVM)*479.37</f>
        <v>479.37</v>
      </c>
    </row>
    <row r="73" spans="1:7" x14ac:dyDescent="0.2">
      <c r="A73" s="9" t="s">
        <v>3012</v>
      </c>
      <c r="B73" s="9">
        <v>21</v>
      </c>
      <c r="C73" s="9">
        <v>500</v>
      </c>
      <c r="D73" s="9">
        <v>400</v>
      </c>
      <c r="E73" s="2" t="s">
        <v>3013</v>
      </c>
      <c r="F73" s="10">
        <v>189.5</v>
      </c>
      <c r="G73" s="11">
        <f>(RCVM)*189.5</f>
        <v>189.5</v>
      </c>
    </row>
    <row r="74" spans="1:7" x14ac:dyDescent="0.2">
      <c r="A74" s="9" t="s">
        <v>3014</v>
      </c>
      <c r="B74" s="9">
        <v>21</v>
      </c>
      <c r="C74" s="9">
        <v>500</v>
      </c>
      <c r="D74" s="9">
        <v>500</v>
      </c>
      <c r="E74" s="2" t="s">
        <v>3015</v>
      </c>
      <c r="F74" s="10">
        <v>207.45</v>
      </c>
      <c r="G74" s="11">
        <f>(RCVM)*207.45</f>
        <v>207.45</v>
      </c>
    </row>
    <row r="75" spans="1:7" x14ac:dyDescent="0.2">
      <c r="A75" s="9" t="s">
        <v>3016</v>
      </c>
      <c r="B75" s="9">
        <v>21</v>
      </c>
      <c r="C75" s="9">
        <v>500</v>
      </c>
      <c r="D75" s="9">
        <v>600</v>
      </c>
      <c r="E75" s="2" t="s">
        <v>3017</v>
      </c>
      <c r="F75" s="10">
        <v>225.1</v>
      </c>
      <c r="G75" s="11">
        <f>(RCVM)*225.1</f>
        <v>225.1</v>
      </c>
    </row>
    <row r="76" spans="1:7" x14ac:dyDescent="0.2">
      <c r="A76" s="9" t="s">
        <v>3018</v>
      </c>
      <c r="B76" s="9">
        <v>21</v>
      </c>
      <c r="C76" s="9">
        <v>500</v>
      </c>
      <c r="D76" s="9">
        <v>800</v>
      </c>
      <c r="E76" s="2" t="s">
        <v>3019</v>
      </c>
      <c r="F76" s="10">
        <v>261.52999999999997</v>
      </c>
      <c r="G76" s="11">
        <f>(RCVM)*261.53</f>
        <v>261.52999999999997</v>
      </c>
    </row>
    <row r="77" spans="1:7" x14ac:dyDescent="0.2">
      <c r="A77" s="9" t="s">
        <v>3020</v>
      </c>
      <c r="B77" s="9">
        <v>21</v>
      </c>
      <c r="C77" s="9">
        <v>500</v>
      </c>
      <c r="D77" s="9">
        <v>1000</v>
      </c>
      <c r="E77" s="2" t="s">
        <v>3021</v>
      </c>
      <c r="F77" s="10">
        <v>297.64999999999998</v>
      </c>
      <c r="G77" s="11">
        <f>(RCVM)*297.65</f>
        <v>297.64999999999998</v>
      </c>
    </row>
    <row r="78" spans="1:7" x14ac:dyDescent="0.2">
      <c r="A78" s="9" t="s">
        <v>3022</v>
      </c>
      <c r="B78" s="9">
        <v>21</v>
      </c>
      <c r="C78" s="9">
        <v>500</v>
      </c>
      <c r="D78" s="9">
        <v>1200</v>
      </c>
      <c r="E78" s="2" t="s">
        <v>3023</v>
      </c>
      <c r="F78" s="10">
        <v>333.66</v>
      </c>
      <c r="G78" s="11">
        <f>(RCVM)*333.66</f>
        <v>333.66</v>
      </c>
    </row>
    <row r="79" spans="1:7" x14ac:dyDescent="0.2">
      <c r="A79" s="9" t="s">
        <v>3024</v>
      </c>
      <c r="B79" s="9">
        <v>21</v>
      </c>
      <c r="C79" s="9">
        <v>500</v>
      </c>
      <c r="D79" s="9">
        <v>1400</v>
      </c>
      <c r="E79" s="2" t="s">
        <v>3025</v>
      </c>
      <c r="F79" s="10">
        <v>369.23</v>
      </c>
      <c r="G79" s="11">
        <f>(RCVM)*369.23</f>
        <v>369.23</v>
      </c>
    </row>
    <row r="80" spans="1:7" x14ac:dyDescent="0.2">
      <c r="A80" s="9" t="s">
        <v>3026</v>
      </c>
      <c r="B80" s="9">
        <v>21</v>
      </c>
      <c r="C80" s="9">
        <v>500</v>
      </c>
      <c r="D80" s="9">
        <v>1600</v>
      </c>
      <c r="E80" s="2" t="s">
        <v>3027</v>
      </c>
      <c r="F80" s="10">
        <v>406.22</v>
      </c>
      <c r="G80" s="11">
        <f>(RCVM)*406.22</f>
        <v>406.22</v>
      </c>
    </row>
    <row r="81" spans="1:7" x14ac:dyDescent="0.2">
      <c r="A81" s="9" t="s">
        <v>3028</v>
      </c>
      <c r="B81" s="9">
        <v>21</v>
      </c>
      <c r="C81" s="9">
        <v>500</v>
      </c>
      <c r="D81" s="9">
        <v>1800</v>
      </c>
      <c r="E81" s="2" t="s">
        <v>3029</v>
      </c>
      <c r="F81" s="10">
        <v>440.95</v>
      </c>
      <c r="G81" s="11">
        <f>(RCVM)*440.95</f>
        <v>440.95</v>
      </c>
    </row>
    <row r="82" spans="1:7" x14ac:dyDescent="0.2">
      <c r="A82" s="9" t="s">
        <v>3030</v>
      </c>
      <c r="B82" s="9">
        <v>21</v>
      </c>
      <c r="C82" s="9">
        <v>500</v>
      </c>
      <c r="D82" s="9">
        <v>2000</v>
      </c>
      <c r="E82" s="2" t="s">
        <v>3031</v>
      </c>
      <c r="F82" s="10">
        <v>477.8</v>
      </c>
      <c r="G82" s="11">
        <f>(RCVM)*477.8</f>
        <v>477.8</v>
      </c>
    </row>
    <row r="83" spans="1:7" x14ac:dyDescent="0.2">
      <c r="A83" s="9" t="s">
        <v>3032</v>
      </c>
      <c r="B83" s="9">
        <v>21</v>
      </c>
      <c r="C83" s="9">
        <v>500</v>
      </c>
      <c r="D83" s="9">
        <v>2300</v>
      </c>
      <c r="E83" s="2" t="s">
        <v>3033</v>
      </c>
      <c r="F83" s="10">
        <v>527.87</v>
      </c>
      <c r="G83" s="11">
        <f>(RCVM)*527.87</f>
        <v>527.87</v>
      </c>
    </row>
    <row r="84" spans="1:7" x14ac:dyDescent="0.2">
      <c r="A84" s="9" t="s">
        <v>3034</v>
      </c>
      <c r="B84" s="9">
        <v>21</v>
      </c>
      <c r="C84" s="9">
        <v>500</v>
      </c>
      <c r="D84" s="9">
        <v>2600</v>
      </c>
      <c r="E84" s="2" t="s">
        <v>3035</v>
      </c>
      <c r="F84" s="10">
        <v>585.5</v>
      </c>
      <c r="G84" s="11">
        <f>(RCVM)*585.5</f>
        <v>585.5</v>
      </c>
    </row>
    <row r="85" spans="1:7" x14ac:dyDescent="0.2">
      <c r="A85" s="9" t="s">
        <v>3036</v>
      </c>
      <c r="B85" s="9">
        <v>21</v>
      </c>
      <c r="C85" s="9">
        <v>500</v>
      </c>
      <c r="D85" s="9">
        <v>3000</v>
      </c>
      <c r="E85" s="2" t="s">
        <v>3037</v>
      </c>
      <c r="F85" s="10">
        <v>657.49</v>
      </c>
      <c r="G85" s="11">
        <f>(RCVM)*657.49</f>
        <v>657.49</v>
      </c>
    </row>
    <row r="86" spans="1:7" x14ac:dyDescent="0.2">
      <c r="A86" s="9" t="s">
        <v>3038</v>
      </c>
      <c r="B86" s="9">
        <v>21</v>
      </c>
      <c r="C86" s="9">
        <v>600</v>
      </c>
      <c r="D86" s="9">
        <v>400</v>
      </c>
      <c r="E86" s="2" t="s">
        <v>3039</v>
      </c>
      <c r="F86" s="10">
        <v>199.49</v>
      </c>
      <c r="G86" s="11">
        <f>(RCVM)*199.49</f>
        <v>199.49</v>
      </c>
    </row>
    <row r="87" spans="1:7" x14ac:dyDescent="0.2">
      <c r="A87" s="9" t="s">
        <v>3040</v>
      </c>
      <c r="B87" s="9">
        <v>21</v>
      </c>
      <c r="C87" s="9">
        <v>600</v>
      </c>
      <c r="D87" s="9">
        <v>500</v>
      </c>
      <c r="E87" s="2" t="s">
        <v>3041</v>
      </c>
      <c r="F87" s="10">
        <v>218.41</v>
      </c>
      <c r="G87" s="11">
        <f>(RCVM)*218.41</f>
        <v>218.41</v>
      </c>
    </row>
    <row r="88" spans="1:7" x14ac:dyDescent="0.2">
      <c r="A88" s="9" t="s">
        <v>3042</v>
      </c>
      <c r="B88" s="9">
        <v>21</v>
      </c>
      <c r="C88" s="9">
        <v>600</v>
      </c>
      <c r="D88" s="9">
        <v>600</v>
      </c>
      <c r="E88" s="2" t="s">
        <v>3043</v>
      </c>
      <c r="F88" s="10">
        <v>237.76</v>
      </c>
      <c r="G88" s="11">
        <f>(RCVM)*237.76</f>
        <v>237.76</v>
      </c>
    </row>
    <row r="89" spans="1:7" x14ac:dyDescent="0.2">
      <c r="A89" s="9" t="s">
        <v>3044</v>
      </c>
      <c r="B89" s="9">
        <v>21</v>
      </c>
      <c r="C89" s="9">
        <v>600</v>
      </c>
      <c r="D89" s="9">
        <v>800</v>
      </c>
      <c r="E89" s="2" t="s">
        <v>3045</v>
      </c>
      <c r="F89" s="10">
        <v>277.44</v>
      </c>
      <c r="G89" s="11">
        <f>(RCVM)*277.44</f>
        <v>277.44</v>
      </c>
    </row>
    <row r="90" spans="1:7" x14ac:dyDescent="0.2">
      <c r="A90" s="9" t="s">
        <v>3046</v>
      </c>
      <c r="B90" s="9">
        <v>21</v>
      </c>
      <c r="C90" s="9">
        <v>600</v>
      </c>
      <c r="D90" s="9">
        <v>1000</v>
      </c>
      <c r="E90" s="2" t="s">
        <v>3047</v>
      </c>
      <c r="F90" s="10">
        <v>317.57</v>
      </c>
      <c r="G90" s="11">
        <f>(RCVM)*317.57</f>
        <v>317.57</v>
      </c>
    </row>
    <row r="91" spans="1:7" x14ac:dyDescent="0.2">
      <c r="A91" s="9" t="s">
        <v>3048</v>
      </c>
      <c r="B91" s="9">
        <v>21</v>
      </c>
      <c r="C91" s="9">
        <v>600</v>
      </c>
      <c r="D91" s="9">
        <v>1200</v>
      </c>
      <c r="E91" s="2" t="s">
        <v>3049</v>
      </c>
      <c r="F91" s="10">
        <v>357.14</v>
      </c>
      <c r="G91" s="11">
        <f>(RCVM)*357.14</f>
        <v>357.14</v>
      </c>
    </row>
    <row r="92" spans="1:7" x14ac:dyDescent="0.2">
      <c r="A92" s="9" t="s">
        <v>3050</v>
      </c>
      <c r="B92" s="9">
        <v>21</v>
      </c>
      <c r="C92" s="9">
        <v>600</v>
      </c>
      <c r="D92" s="9">
        <v>1400</v>
      </c>
      <c r="E92" s="2" t="s">
        <v>3051</v>
      </c>
      <c r="F92" s="10">
        <v>397.12</v>
      </c>
      <c r="G92" s="11">
        <f>(RCVM)*397.12</f>
        <v>397.12</v>
      </c>
    </row>
    <row r="93" spans="1:7" x14ac:dyDescent="0.2">
      <c r="A93" s="9" t="s">
        <v>3052</v>
      </c>
      <c r="B93" s="9">
        <v>21</v>
      </c>
      <c r="C93" s="9">
        <v>600</v>
      </c>
      <c r="D93" s="9">
        <v>1600</v>
      </c>
      <c r="E93" s="2" t="s">
        <v>3053</v>
      </c>
      <c r="F93" s="10">
        <v>437.09</v>
      </c>
      <c r="G93" s="11">
        <f>(RCVM)*437.09</f>
        <v>437.09</v>
      </c>
    </row>
    <row r="94" spans="1:7" x14ac:dyDescent="0.2">
      <c r="A94" s="9" t="s">
        <v>3054</v>
      </c>
      <c r="B94" s="9">
        <v>21</v>
      </c>
      <c r="C94" s="9">
        <v>600</v>
      </c>
      <c r="D94" s="9">
        <v>1800</v>
      </c>
      <c r="E94" s="2" t="s">
        <v>3055</v>
      </c>
      <c r="F94" s="10">
        <v>476.93</v>
      </c>
      <c r="G94" s="11">
        <f>(RCVM)*476.93</f>
        <v>476.93</v>
      </c>
    </row>
    <row r="95" spans="1:7" x14ac:dyDescent="0.2">
      <c r="A95" s="9" t="s">
        <v>3056</v>
      </c>
      <c r="B95" s="9">
        <v>21</v>
      </c>
      <c r="C95" s="9">
        <v>600</v>
      </c>
      <c r="D95" s="9">
        <v>2000</v>
      </c>
      <c r="E95" s="2" t="s">
        <v>3057</v>
      </c>
      <c r="F95" s="10">
        <v>516.63</v>
      </c>
      <c r="G95" s="11">
        <f>(RCVM)*516.63</f>
        <v>516.63</v>
      </c>
    </row>
    <row r="96" spans="1:7" x14ac:dyDescent="0.2">
      <c r="A96" s="9" t="s">
        <v>3058</v>
      </c>
      <c r="B96" s="9">
        <v>21</v>
      </c>
      <c r="C96" s="9">
        <v>600</v>
      </c>
      <c r="D96" s="9">
        <v>2300</v>
      </c>
      <c r="E96" s="2" t="s">
        <v>3059</v>
      </c>
      <c r="F96" s="10">
        <v>577.09</v>
      </c>
      <c r="G96" s="11">
        <f>(RCVM)*577.09</f>
        <v>577.09</v>
      </c>
    </row>
    <row r="97" spans="1:7" x14ac:dyDescent="0.2">
      <c r="A97" s="9" t="s">
        <v>3060</v>
      </c>
      <c r="B97" s="9">
        <v>21</v>
      </c>
      <c r="C97" s="9">
        <v>600</v>
      </c>
      <c r="D97" s="9">
        <v>2600</v>
      </c>
      <c r="E97" s="2" t="s">
        <v>3061</v>
      </c>
      <c r="F97" s="10">
        <v>636.29</v>
      </c>
      <c r="G97" s="11">
        <f>(RCVM)*636.29</f>
        <v>636.29</v>
      </c>
    </row>
    <row r="98" spans="1:7" x14ac:dyDescent="0.2">
      <c r="A98" s="9" t="s">
        <v>3062</v>
      </c>
      <c r="B98" s="9">
        <v>21</v>
      </c>
      <c r="C98" s="9">
        <v>600</v>
      </c>
      <c r="D98" s="9">
        <v>3000</v>
      </c>
      <c r="E98" s="2" t="s">
        <v>3063</v>
      </c>
      <c r="F98" s="10">
        <v>715.82</v>
      </c>
      <c r="G98" s="11">
        <f>(RCVM)*715.82</f>
        <v>715.82</v>
      </c>
    </row>
    <row r="99" spans="1:7" x14ac:dyDescent="0.2">
      <c r="A99" s="9" t="s">
        <v>3064</v>
      </c>
      <c r="B99" s="9">
        <v>21</v>
      </c>
      <c r="C99" s="9">
        <v>900</v>
      </c>
      <c r="D99" s="9">
        <v>400</v>
      </c>
      <c r="E99" s="2" t="s">
        <v>3065</v>
      </c>
      <c r="F99" s="10">
        <v>260.82</v>
      </c>
      <c r="G99" s="11">
        <f>(RCVM)*260.82</f>
        <v>260.82</v>
      </c>
    </row>
    <row r="100" spans="1:7" x14ac:dyDescent="0.2">
      <c r="A100" s="9" t="s">
        <v>3066</v>
      </c>
      <c r="B100" s="9">
        <v>21</v>
      </c>
      <c r="C100" s="9">
        <v>900</v>
      </c>
      <c r="D100" s="9">
        <v>500</v>
      </c>
      <c r="E100" s="2" t="s">
        <v>3067</v>
      </c>
      <c r="F100" s="10">
        <v>286.14999999999998</v>
      </c>
      <c r="G100" s="11">
        <f>(RCVM)*286.15</f>
        <v>286.14999999999998</v>
      </c>
    </row>
    <row r="101" spans="1:7" x14ac:dyDescent="0.2">
      <c r="A101" s="9" t="s">
        <v>3068</v>
      </c>
      <c r="B101" s="9">
        <v>21</v>
      </c>
      <c r="C101" s="9">
        <v>900</v>
      </c>
      <c r="D101" s="9">
        <v>600</v>
      </c>
      <c r="E101" s="2" t="s">
        <v>3069</v>
      </c>
      <c r="F101" s="10">
        <v>312.31</v>
      </c>
      <c r="G101" s="11">
        <f>(RCVM)*312.31</f>
        <v>312.31</v>
      </c>
    </row>
    <row r="102" spans="1:7" x14ac:dyDescent="0.2">
      <c r="A102" s="9" t="s">
        <v>3070</v>
      </c>
      <c r="B102" s="9">
        <v>21</v>
      </c>
      <c r="C102" s="9">
        <v>900</v>
      </c>
      <c r="D102" s="9">
        <v>800</v>
      </c>
      <c r="E102" s="2" t="s">
        <v>3071</v>
      </c>
      <c r="F102" s="10">
        <v>380.05</v>
      </c>
      <c r="G102" s="11">
        <f>(RCVM)*380.05</f>
        <v>380.05</v>
      </c>
    </row>
    <row r="103" spans="1:7" x14ac:dyDescent="0.2">
      <c r="A103" s="9" t="s">
        <v>3072</v>
      </c>
      <c r="B103" s="9">
        <v>21</v>
      </c>
      <c r="C103" s="9">
        <v>900</v>
      </c>
      <c r="D103" s="9">
        <v>1000</v>
      </c>
      <c r="E103" s="2" t="s">
        <v>3073</v>
      </c>
      <c r="F103" s="10">
        <v>446.92</v>
      </c>
      <c r="G103" s="11">
        <f>(RCVM)*446.92</f>
        <v>446.92</v>
      </c>
    </row>
    <row r="104" spans="1:7" x14ac:dyDescent="0.2">
      <c r="A104" s="9" t="s">
        <v>3074</v>
      </c>
      <c r="B104" s="9">
        <v>21</v>
      </c>
      <c r="C104" s="9">
        <v>900</v>
      </c>
      <c r="D104" s="9">
        <v>1200</v>
      </c>
      <c r="E104" s="2" t="s">
        <v>3075</v>
      </c>
      <c r="F104" s="10">
        <v>514.05999999999995</v>
      </c>
      <c r="G104" s="11">
        <f>(RCVM)*514.06</f>
        <v>514.05999999999995</v>
      </c>
    </row>
    <row r="105" spans="1:7" x14ac:dyDescent="0.2">
      <c r="A105" s="9" t="s">
        <v>3076</v>
      </c>
      <c r="B105" s="9">
        <v>21</v>
      </c>
      <c r="C105" s="9">
        <v>900</v>
      </c>
      <c r="D105" s="9">
        <v>1400</v>
      </c>
      <c r="E105" s="2" t="s">
        <v>3077</v>
      </c>
      <c r="F105" s="10">
        <v>580.39</v>
      </c>
      <c r="G105" s="11">
        <f>(RCVM)*580.39</f>
        <v>580.39</v>
      </c>
    </row>
    <row r="106" spans="1:7" x14ac:dyDescent="0.2">
      <c r="A106" s="9" t="s">
        <v>3078</v>
      </c>
      <c r="B106" s="9">
        <v>21</v>
      </c>
      <c r="C106" s="9">
        <v>900</v>
      </c>
      <c r="D106" s="9">
        <v>1600</v>
      </c>
      <c r="E106" s="2" t="s">
        <v>3079</v>
      </c>
      <c r="F106" s="10">
        <v>647.4</v>
      </c>
      <c r="G106" s="11">
        <f>(RCVM)*647.4</f>
        <v>647.4</v>
      </c>
    </row>
    <row r="107" spans="1:7" x14ac:dyDescent="0.2">
      <c r="A107" s="9" t="s">
        <v>3080</v>
      </c>
      <c r="B107" s="9">
        <v>21</v>
      </c>
      <c r="C107" s="9">
        <v>900</v>
      </c>
      <c r="D107" s="9">
        <v>1800</v>
      </c>
      <c r="E107" s="2" t="s">
        <v>3081</v>
      </c>
      <c r="F107" s="10">
        <v>713.97</v>
      </c>
      <c r="G107" s="11">
        <f>(RCVM)*713.97</f>
        <v>713.97</v>
      </c>
    </row>
    <row r="108" spans="1:7" x14ac:dyDescent="0.2">
      <c r="A108" s="9" t="s">
        <v>3082</v>
      </c>
      <c r="B108" s="9">
        <v>21</v>
      </c>
      <c r="C108" s="9">
        <v>900</v>
      </c>
      <c r="D108" s="9">
        <v>2000</v>
      </c>
      <c r="E108" s="2" t="s">
        <v>3083</v>
      </c>
      <c r="F108" s="10">
        <v>782.55</v>
      </c>
      <c r="G108" s="11">
        <f>(RCVM)*782.55</f>
        <v>782.55</v>
      </c>
    </row>
    <row r="109" spans="1:7" x14ac:dyDescent="0.2">
      <c r="A109" s="9" t="s">
        <v>3084</v>
      </c>
      <c r="B109" s="9">
        <v>22</v>
      </c>
      <c r="C109" s="9">
        <v>300</v>
      </c>
      <c r="D109" s="9">
        <v>400</v>
      </c>
      <c r="E109" s="2" t="s">
        <v>3085</v>
      </c>
      <c r="F109" s="10">
        <v>164.05</v>
      </c>
      <c r="G109" s="11">
        <f>(RCVM)*164.05</f>
        <v>164.05</v>
      </c>
    </row>
    <row r="110" spans="1:7" x14ac:dyDescent="0.2">
      <c r="A110" s="9" t="s">
        <v>3086</v>
      </c>
      <c r="B110" s="9">
        <v>22</v>
      </c>
      <c r="C110" s="9">
        <v>300</v>
      </c>
      <c r="D110" s="9">
        <v>500</v>
      </c>
      <c r="E110" s="2" t="s">
        <v>3087</v>
      </c>
      <c r="F110" s="10">
        <v>181.15</v>
      </c>
      <c r="G110" s="11">
        <f>(RCVM)*181.15</f>
        <v>181.15</v>
      </c>
    </row>
    <row r="111" spans="1:7" x14ac:dyDescent="0.2">
      <c r="A111" s="9" t="s">
        <v>3088</v>
      </c>
      <c r="B111" s="9">
        <v>22</v>
      </c>
      <c r="C111" s="9">
        <v>300</v>
      </c>
      <c r="D111" s="9">
        <v>600</v>
      </c>
      <c r="E111" s="2" t="s">
        <v>3089</v>
      </c>
      <c r="F111" s="10">
        <v>196.49</v>
      </c>
      <c r="G111" s="11">
        <f>(RCVM)*196.49</f>
        <v>196.49</v>
      </c>
    </row>
    <row r="112" spans="1:7" x14ac:dyDescent="0.2">
      <c r="A112" s="9" t="s">
        <v>3090</v>
      </c>
      <c r="B112" s="9">
        <v>22</v>
      </c>
      <c r="C112" s="9">
        <v>300</v>
      </c>
      <c r="D112" s="9">
        <v>800</v>
      </c>
      <c r="E112" s="2" t="s">
        <v>3091</v>
      </c>
      <c r="F112" s="10">
        <v>222.98</v>
      </c>
      <c r="G112" s="11">
        <f>(RCVM)*222.98</f>
        <v>222.98</v>
      </c>
    </row>
    <row r="113" spans="1:7" x14ac:dyDescent="0.2">
      <c r="A113" s="9" t="s">
        <v>3092</v>
      </c>
      <c r="B113" s="9">
        <v>22</v>
      </c>
      <c r="C113" s="9">
        <v>300</v>
      </c>
      <c r="D113" s="9">
        <v>1000</v>
      </c>
      <c r="E113" s="2" t="s">
        <v>3093</v>
      </c>
      <c r="F113" s="10">
        <v>249.14</v>
      </c>
      <c r="G113" s="11">
        <f>(RCVM)*249.14</f>
        <v>249.14</v>
      </c>
    </row>
    <row r="114" spans="1:7" x14ac:dyDescent="0.2">
      <c r="A114" s="9" t="s">
        <v>3094</v>
      </c>
      <c r="B114" s="9">
        <v>22</v>
      </c>
      <c r="C114" s="9">
        <v>300</v>
      </c>
      <c r="D114" s="9">
        <v>1200</v>
      </c>
      <c r="E114" s="2" t="s">
        <v>3095</v>
      </c>
      <c r="F114" s="10">
        <v>274.48</v>
      </c>
      <c r="G114" s="11">
        <f>(RCVM)*274.48</f>
        <v>274.48</v>
      </c>
    </row>
    <row r="115" spans="1:7" x14ac:dyDescent="0.2">
      <c r="A115" s="9" t="s">
        <v>3096</v>
      </c>
      <c r="B115" s="9">
        <v>22</v>
      </c>
      <c r="C115" s="9">
        <v>300</v>
      </c>
      <c r="D115" s="9">
        <v>1400</v>
      </c>
      <c r="E115" s="2" t="s">
        <v>3097</v>
      </c>
      <c r="F115" s="10">
        <v>300.51</v>
      </c>
      <c r="G115" s="11">
        <f>(RCVM)*300.51</f>
        <v>300.51</v>
      </c>
    </row>
    <row r="116" spans="1:7" x14ac:dyDescent="0.2">
      <c r="A116" s="9" t="s">
        <v>3098</v>
      </c>
      <c r="B116" s="9">
        <v>22</v>
      </c>
      <c r="C116" s="9">
        <v>300</v>
      </c>
      <c r="D116" s="9">
        <v>1600</v>
      </c>
      <c r="E116" s="2" t="s">
        <v>3099</v>
      </c>
      <c r="F116" s="10">
        <v>326.54000000000002</v>
      </c>
      <c r="G116" s="11">
        <f>(RCVM)*326.54</f>
        <v>326.54000000000002</v>
      </c>
    </row>
    <row r="117" spans="1:7" x14ac:dyDescent="0.2">
      <c r="A117" s="9" t="s">
        <v>3100</v>
      </c>
      <c r="B117" s="9">
        <v>22</v>
      </c>
      <c r="C117" s="9">
        <v>300</v>
      </c>
      <c r="D117" s="9">
        <v>1800</v>
      </c>
      <c r="E117" s="2" t="s">
        <v>3101</v>
      </c>
      <c r="F117" s="10">
        <v>353.16</v>
      </c>
      <c r="G117" s="11">
        <f>(RCVM)*353.16</f>
        <v>353.16</v>
      </c>
    </row>
    <row r="118" spans="1:7" x14ac:dyDescent="0.2">
      <c r="A118" s="9" t="s">
        <v>3102</v>
      </c>
      <c r="B118" s="9">
        <v>22</v>
      </c>
      <c r="C118" s="9">
        <v>300</v>
      </c>
      <c r="D118" s="9">
        <v>2000</v>
      </c>
      <c r="E118" s="2" t="s">
        <v>3103</v>
      </c>
      <c r="F118" s="10">
        <v>379.05</v>
      </c>
      <c r="G118" s="11">
        <f>(RCVM)*379.05</f>
        <v>379.05</v>
      </c>
    </row>
    <row r="119" spans="1:7" x14ac:dyDescent="0.2">
      <c r="A119" s="9" t="s">
        <v>3104</v>
      </c>
      <c r="B119" s="9">
        <v>22</v>
      </c>
      <c r="C119" s="9">
        <v>300</v>
      </c>
      <c r="D119" s="9">
        <v>2300</v>
      </c>
      <c r="E119" s="2" t="s">
        <v>3105</v>
      </c>
      <c r="F119" s="10">
        <v>418.18</v>
      </c>
      <c r="G119" s="11">
        <f>(RCVM)*418.18</f>
        <v>418.18</v>
      </c>
    </row>
    <row r="120" spans="1:7" x14ac:dyDescent="0.2">
      <c r="A120" s="9" t="s">
        <v>3106</v>
      </c>
      <c r="B120" s="9">
        <v>22</v>
      </c>
      <c r="C120" s="9">
        <v>300</v>
      </c>
      <c r="D120" s="9">
        <v>2600</v>
      </c>
      <c r="E120" s="2" t="s">
        <v>3107</v>
      </c>
      <c r="F120" s="10">
        <v>457.16</v>
      </c>
      <c r="G120" s="11">
        <f>(RCVM)*457.16</f>
        <v>457.16</v>
      </c>
    </row>
    <row r="121" spans="1:7" x14ac:dyDescent="0.2">
      <c r="A121" s="9" t="s">
        <v>3108</v>
      </c>
      <c r="B121" s="9">
        <v>22</v>
      </c>
      <c r="C121" s="9">
        <v>300</v>
      </c>
      <c r="D121" s="9">
        <v>3000</v>
      </c>
      <c r="E121" s="2" t="s">
        <v>3109</v>
      </c>
      <c r="F121" s="10">
        <v>509.37</v>
      </c>
      <c r="G121" s="11">
        <f>(RCVM)*509.37</f>
        <v>509.37</v>
      </c>
    </row>
    <row r="122" spans="1:7" x14ac:dyDescent="0.2">
      <c r="A122" s="9" t="s">
        <v>3110</v>
      </c>
      <c r="B122" s="9">
        <v>22</v>
      </c>
      <c r="C122" s="9">
        <v>500</v>
      </c>
      <c r="D122" s="9">
        <v>400</v>
      </c>
      <c r="E122" s="2" t="s">
        <v>3111</v>
      </c>
      <c r="F122" s="10">
        <v>199.04</v>
      </c>
      <c r="G122" s="11">
        <f>(RCVM)*199.04</f>
        <v>199.04</v>
      </c>
    </row>
    <row r="123" spans="1:7" x14ac:dyDescent="0.2">
      <c r="A123" s="9" t="s">
        <v>3112</v>
      </c>
      <c r="B123" s="9">
        <v>22</v>
      </c>
      <c r="C123" s="9">
        <v>500</v>
      </c>
      <c r="D123" s="9">
        <v>500</v>
      </c>
      <c r="E123" s="2" t="s">
        <v>3113</v>
      </c>
      <c r="F123" s="10">
        <v>218.14</v>
      </c>
      <c r="G123" s="11">
        <f>(RCVM)*218.14</f>
        <v>218.14</v>
      </c>
    </row>
    <row r="124" spans="1:7" x14ac:dyDescent="0.2">
      <c r="A124" s="9" t="s">
        <v>3114</v>
      </c>
      <c r="B124" s="9">
        <v>22</v>
      </c>
      <c r="C124" s="9">
        <v>500</v>
      </c>
      <c r="D124" s="9">
        <v>600</v>
      </c>
      <c r="E124" s="2" t="s">
        <v>3115</v>
      </c>
      <c r="F124" s="10">
        <v>237.06</v>
      </c>
      <c r="G124" s="11">
        <f>(RCVM)*237.06</f>
        <v>237.06</v>
      </c>
    </row>
    <row r="125" spans="1:7" x14ac:dyDescent="0.2">
      <c r="A125" s="9" t="s">
        <v>3116</v>
      </c>
      <c r="B125" s="9">
        <v>22</v>
      </c>
      <c r="C125" s="9">
        <v>500</v>
      </c>
      <c r="D125" s="9">
        <v>800</v>
      </c>
      <c r="E125" s="2" t="s">
        <v>3117</v>
      </c>
      <c r="F125" s="10">
        <v>276.05</v>
      </c>
      <c r="G125" s="11">
        <f>(RCVM)*276.05</f>
        <v>276.05</v>
      </c>
    </row>
    <row r="126" spans="1:7" x14ac:dyDescent="0.2">
      <c r="A126" s="9" t="s">
        <v>3118</v>
      </c>
      <c r="B126" s="9">
        <v>22</v>
      </c>
      <c r="C126" s="9">
        <v>500</v>
      </c>
      <c r="D126" s="9">
        <v>1000</v>
      </c>
      <c r="E126" s="2" t="s">
        <v>3119</v>
      </c>
      <c r="F126" s="10">
        <v>314.16000000000003</v>
      </c>
      <c r="G126" s="11">
        <f>(RCVM)*314.16</f>
        <v>314.16000000000003</v>
      </c>
    </row>
    <row r="127" spans="1:7" x14ac:dyDescent="0.2">
      <c r="A127" s="9" t="s">
        <v>3120</v>
      </c>
      <c r="B127" s="9">
        <v>22</v>
      </c>
      <c r="C127" s="9">
        <v>500</v>
      </c>
      <c r="D127" s="9">
        <v>1200</v>
      </c>
      <c r="E127" s="2" t="s">
        <v>3121</v>
      </c>
      <c r="F127" s="10">
        <v>352.43</v>
      </c>
      <c r="G127" s="11">
        <f>(RCVM)*352.43</f>
        <v>352.43</v>
      </c>
    </row>
    <row r="128" spans="1:7" x14ac:dyDescent="0.2">
      <c r="A128" s="9" t="s">
        <v>3122</v>
      </c>
      <c r="B128" s="9">
        <v>22</v>
      </c>
      <c r="C128" s="9">
        <v>500</v>
      </c>
      <c r="D128" s="9">
        <v>1400</v>
      </c>
      <c r="E128" s="2" t="s">
        <v>3123</v>
      </c>
      <c r="F128" s="10">
        <v>391.29</v>
      </c>
      <c r="G128" s="11">
        <f>(RCVM)*391.29</f>
        <v>391.29</v>
      </c>
    </row>
    <row r="129" spans="1:7" x14ac:dyDescent="0.2">
      <c r="A129" s="9" t="s">
        <v>3124</v>
      </c>
      <c r="B129" s="9">
        <v>22</v>
      </c>
      <c r="C129" s="9">
        <v>500</v>
      </c>
      <c r="D129" s="9">
        <v>1600</v>
      </c>
      <c r="E129" s="2" t="s">
        <v>3125</v>
      </c>
      <c r="F129" s="10">
        <v>429.85</v>
      </c>
      <c r="G129" s="11">
        <f>(RCVM)*429.85</f>
        <v>429.85</v>
      </c>
    </row>
    <row r="130" spans="1:7" x14ac:dyDescent="0.2">
      <c r="A130" s="9" t="s">
        <v>3126</v>
      </c>
      <c r="B130" s="9">
        <v>22</v>
      </c>
      <c r="C130" s="9">
        <v>500</v>
      </c>
      <c r="D130" s="9">
        <v>1800</v>
      </c>
      <c r="E130" s="2" t="s">
        <v>3127</v>
      </c>
      <c r="F130" s="10">
        <v>468.68</v>
      </c>
      <c r="G130" s="11">
        <f>(RCVM)*468.68</f>
        <v>468.68</v>
      </c>
    </row>
    <row r="131" spans="1:7" x14ac:dyDescent="0.2">
      <c r="A131" s="9" t="s">
        <v>3128</v>
      </c>
      <c r="B131" s="9">
        <v>22</v>
      </c>
      <c r="C131" s="9">
        <v>500</v>
      </c>
      <c r="D131" s="9">
        <v>2000</v>
      </c>
      <c r="E131" s="2" t="s">
        <v>3129</v>
      </c>
      <c r="F131" s="10">
        <v>507.24</v>
      </c>
      <c r="G131" s="11">
        <f>(RCVM)*507.24</f>
        <v>507.24</v>
      </c>
    </row>
    <row r="132" spans="1:7" x14ac:dyDescent="0.2">
      <c r="A132" s="9" t="s">
        <v>3130</v>
      </c>
      <c r="B132" s="9">
        <v>22</v>
      </c>
      <c r="C132" s="9">
        <v>500</v>
      </c>
      <c r="D132" s="9">
        <v>2300</v>
      </c>
      <c r="E132" s="2" t="s">
        <v>3131</v>
      </c>
      <c r="F132" s="10">
        <v>565.59</v>
      </c>
      <c r="G132" s="11">
        <f>(RCVM)*565.59</f>
        <v>565.59</v>
      </c>
    </row>
    <row r="133" spans="1:7" x14ac:dyDescent="0.2">
      <c r="A133" s="9" t="s">
        <v>3132</v>
      </c>
      <c r="B133" s="9">
        <v>22</v>
      </c>
      <c r="C133" s="9">
        <v>500</v>
      </c>
      <c r="D133" s="9">
        <v>2600</v>
      </c>
      <c r="E133" s="2" t="s">
        <v>3133</v>
      </c>
      <c r="F133" s="10">
        <v>623.61</v>
      </c>
      <c r="G133" s="11">
        <f>(RCVM)*623.61</f>
        <v>623.61</v>
      </c>
    </row>
    <row r="134" spans="1:7" x14ac:dyDescent="0.2">
      <c r="A134" s="9" t="s">
        <v>3134</v>
      </c>
      <c r="B134" s="9">
        <v>22</v>
      </c>
      <c r="C134" s="9">
        <v>500</v>
      </c>
      <c r="D134" s="9">
        <v>3000</v>
      </c>
      <c r="E134" s="2" t="s">
        <v>3135</v>
      </c>
      <c r="F134" s="10">
        <v>700.73</v>
      </c>
      <c r="G134" s="11">
        <f>(RCVM)*700.73</f>
        <v>700.73</v>
      </c>
    </row>
    <row r="135" spans="1:7" x14ac:dyDescent="0.2">
      <c r="A135" s="9" t="s">
        <v>3136</v>
      </c>
      <c r="B135" s="9">
        <v>22</v>
      </c>
      <c r="C135" s="9">
        <v>600</v>
      </c>
      <c r="D135" s="9">
        <v>400</v>
      </c>
      <c r="E135" s="2" t="s">
        <v>3137</v>
      </c>
      <c r="F135" s="10">
        <v>210.15</v>
      </c>
      <c r="G135" s="11">
        <f>(RCVM)*210.15</f>
        <v>210.15</v>
      </c>
    </row>
    <row r="136" spans="1:7" x14ac:dyDescent="0.2">
      <c r="A136" s="9" t="s">
        <v>3138</v>
      </c>
      <c r="B136" s="9">
        <v>22</v>
      </c>
      <c r="C136" s="9">
        <v>600</v>
      </c>
      <c r="D136" s="9">
        <v>500</v>
      </c>
      <c r="E136" s="2" t="s">
        <v>3139</v>
      </c>
      <c r="F136" s="10">
        <v>229.78</v>
      </c>
      <c r="G136" s="11">
        <f>(RCVM)*229.78</f>
        <v>229.78</v>
      </c>
    </row>
    <row r="137" spans="1:7" x14ac:dyDescent="0.2">
      <c r="A137" s="9" t="s">
        <v>3140</v>
      </c>
      <c r="B137" s="9">
        <v>22</v>
      </c>
      <c r="C137" s="9">
        <v>600</v>
      </c>
      <c r="D137" s="9">
        <v>600</v>
      </c>
      <c r="E137" s="2" t="s">
        <v>3141</v>
      </c>
      <c r="F137" s="10">
        <v>250.7</v>
      </c>
      <c r="G137" s="11">
        <f>(RCVM)*250.7</f>
        <v>250.7</v>
      </c>
    </row>
    <row r="138" spans="1:7" x14ac:dyDescent="0.2">
      <c r="A138" s="9" t="s">
        <v>3142</v>
      </c>
      <c r="B138" s="9">
        <v>22</v>
      </c>
      <c r="C138" s="9">
        <v>600</v>
      </c>
      <c r="D138" s="9">
        <v>800</v>
      </c>
      <c r="E138" s="2" t="s">
        <v>3143</v>
      </c>
      <c r="F138" s="10">
        <v>293.52999999999997</v>
      </c>
      <c r="G138" s="11">
        <f>(RCVM)*293.53</f>
        <v>293.52999999999997</v>
      </c>
    </row>
    <row r="139" spans="1:7" x14ac:dyDescent="0.2">
      <c r="A139" s="9" t="s">
        <v>3144</v>
      </c>
      <c r="B139" s="9">
        <v>22</v>
      </c>
      <c r="C139" s="9">
        <v>600</v>
      </c>
      <c r="D139" s="9">
        <v>1000</v>
      </c>
      <c r="E139" s="2" t="s">
        <v>3145</v>
      </c>
      <c r="F139" s="10">
        <v>336.2</v>
      </c>
      <c r="G139" s="11">
        <f>(RCVM)*336.2</f>
        <v>336.2</v>
      </c>
    </row>
    <row r="140" spans="1:7" x14ac:dyDescent="0.2">
      <c r="A140" s="9" t="s">
        <v>3146</v>
      </c>
      <c r="B140" s="9">
        <v>22</v>
      </c>
      <c r="C140" s="9">
        <v>600</v>
      </c>
      <c r="D140" s="9">
        <v>1200</v>
      </c>
      <c r="E140" s="2" t="s">
        <v>3147</v>
      </c>
      <c r="F140" s="10">
        <v>378.74</v>
      </c>
      <c r="G140" s="11">
        <f>(RCVM)*378.74</f>
        <v>378.74</v>
      </c>
    </row>
    <row r="141" spans="1:7" x14ac:dyDescent="0.2">
      <c r="A141" s="9" t="s">
        <v>3148</v>
      </c>
      <c r="B141" s="9">
        <v>22</v>
      </c>
      <c r="C141" s="9">
        <v>600</v>
      </c>
      <c r="D141" s="9">
        <v>1400</v>
      </c>
      <c r="E141" s="2" t="s">
        <v>3149</v>
      </c>
      <c r="F141" s="10">
        <v>421.88</v>
      </c>
      <c r="G141" s="11">
        <f>(RCVM)*421.88</f>
        <v>421.88</v>
      </c>
    </row>
    <row r="142" spans="1:7" x14ac:dyDescent="0.2">
      <c r="A142" s="9" t="s">
        <v>3150</v>
      </c>
      <c r="B142" s="9">
        <v>22</v>
      </c>
      <c r="C142" s="9">
        <v>600</v>
      </c>
      <c r="D142" s="9">
        <v>1600</v>
      </c>
      <c r="E142" s="2" t="s">
        <v>3151</v>
      </c>
      <c r="F142" s="10">
        <v>464.25</v>
      </c>
      <c r="G142" s="11">
        <f>(RCVM)*464.25</f>
        <v>464.25</v>
      </c>
    </row>
    <row r="143" spans="1:7" x14ac:dyDescent="0.2">
      <c r="A143" s="9" t="s">
        <v>3152</v>
      </c>
      <c r="B143" s="9">
        <v>22</v>
      </c>
      <c r="C143" s="9">
        <v>600</v>
      </c>
      <c r="D143" s="9">
        <v>1800</v>
      </c>
      <c r="E143" s="2" t="s">
        <v>3153</v>
      </c>
      <c r="F143" s="10">
        <v>507.24</v>
      </c>
      <c r="G143" s="11">
        <f>(RCVM)*507.24</f>
        <v>507.24</v>
      </c>
    </row>
    <row r="144" spans="1:7" x14ac:dyDescent="0.2">
      <c r="A144" s="9" t="s">
        <v>3154</v>
      </c>
      <c r="B144" s="9">
        <v>22</v>
      </c>
      <c r="C144" s="9">
        <v>600</v>
      </c>
      <c r="D144" s="9">
        <v>2000</v>
      </c>
      <c r="E144" s="2" t="s">
        <v>3155</v>
      </c>
      <c r="F144" s="10">
        <v>549.91999999999996</v>
      </c>
      <c r="G144" s="11">
        <f>(RCVM)*549.92</f>
        <v>549.91999999999996</v>
      </c>
    </row>
    <row r="145" spans="1:7" x14ac:dyDescent="0.2">
      <c r="A145" s="9" t="s">
        <v>3156</v>
      </c>
      <c r="B145" s="9">
        <v>22</v>
      </c>
      <c r="C145" s="9">
        <v>600</v>
      </c>
      <c r="D145" s="9">
        <v>2300</v>
      </c>
      <c r="E145" s="2" t="s">
        <v>3157</v>
      </c>
      <c r="F145" s="10">
        <v>614.66999999999996</v>
      </c>
      <c r="G145" s="11">
        <f>(RCVM)*614.67</f>
        <v>614.66999999999996</v>
      </c>
    </row>
    <row r="146" spans="1:7" x14ac:dyDescent="0.2">
      <c r="A146" s="9" t="s">
        <v>3158</v>
      </c>
      <c r="B146" s="9">
        <v>22</v>
      </c>
      <c r="C146" s="9">
        <v>600</v>
      </c>
      <c r="D146" s="9">
        <v>2600</v>
      </c>
      <c r="E146" s="2" t="s">
        <v>3159</v>
      </c>
      <c r="F146" s="10">
        <v>678.98</v>
      </c>
      <c r="G146" s="11">
        <f>(RCVM)*678.98</f>
        <v>678.98</v>
      </c>
    </row>
    <row r="147" spans="1:7" x14ac:dyDescent="0.2">
      <c r="A147" s="9" t="s">
        <v>3160</v>
      </c>
      <c r="B147" s="9">
        <v>22</v>
      </c>
      <c r="C147" s="9">
        <v>600</v>
      </c>
      <c r="D147" s="9">
        <v>3000</v>
      </c>
      <c r="E147" s="2" t="s">
        <v>3161</v>
      </c>
      <c r="F147" s="10">
        <v>764.34</v>
      </c>
      <c r="G147" s="11">
        <f>(RCVM)*764.34</f>
        <v>764.34</v>
      </c>
    </row>
    <row r="148" spans="1:7" x14ac:dyDescent="0.2">
      <c r="A148" s="9" t="s">
        <v>3162</v>
      </c>
      <c r="B148" s="9">
        <v>22</v>
      </c>
      <c r="C148" s="9">
        <v>900</v>
      </c>
      <c r="D148" s="9">
        <v>400</v>
      </c>
      <c r="E148" s="2" t="s">
        <v>3163</v>
      </c>
      <c r="F148" s="10">
        <v>275.18</v>
      </c>
      <c r="G148" s="11">
        <f>(RCVM)*275.18</f>
        <v>275.18</v>
      </c>
    </row>
    <row r="149" spans="1:7" x14ac:dyDescent="0.2">
      <c r="A149" s="9" t="s">
        <v>3164</v>
      </c>
      <c r="B149" s="9">
        <v>22</v>
      </c>
      <c r="C149" s="9">
        <v>900</v>
      </c>
      <c r="D149" s="9">
        <v>500</v>
      </c>
      <c r="E149" s="2" t="s">
        <v>3165</v>
      </c>
      <c r="F149" s="10">
        <v>302.95</v>
      </c>
      <c r="G149" s="11">
        <f>(RCVM)*302.95</f>
        <v>302.95</v>
      </c>
    </row>
    <row r="150" spans="1:7" x14ac:dyDescent="0.2">
      <c r="A150" s="9" t="s">
        <v>3166</v>
      </c>
      <c r="B150" s="9">
        <v>22</v>
      </c>
      <c r="C150" s="9">
        <v>900</v>
      </c>
      <c r="D150" s="9">
        <v>600</v>
      </c>
      <c r="E150" s="2" t="s">
        <v>3167</v>
      </c>
      <c r="F150" s="10">
        <v>330.53</v>
      </c>
      <c r="G150" s="11">
        <f>(RCVM)*330.53</f>
        <v>330.53</v>
      </c>
    </row>
    <row r="151" spans="1:7" x14ac:dyDescent="0.2">
      <c r="A151" s="9" t="s">
        <v>3168</v>
      </c>
      <c r="B151" s="9">
        <v>22</v>
      </c>
      <c r="C151" s="9">
        <v>900</v>
      </c>
      <c r="D151" s="9">
        <v>800</v>
      </c>
      <c r="E151" s="2" t="s">
        <v>3169</v>
      </c>
      <c r="F151" s="10">
        <v>402.07</v>
      </c>
      <c r="G151" s="11">
        <f>(RCVM)*402.07</f>
        <v>402.07</v>
      </c>
    </row>
    <row r="152" spans="1:7" x14ac:dyDescent="0.2">
      <c r="A152" s="9" t="s">
        <v>3170</v>
      </c>
      <c r="B152" s="9">
        <v>22</v>
      </c>
      <c r="C152" s="9">
        <v>900</v>
      </c>
      <c r="D152" s="9">
        <v>1000</v>
      </c>
      <c r="E152" s="2" t="s">
        <v>3171</v>
      </c>
      <c r="F152" s="10">
        <v>474.37</v>
      </c>
      <c r="G152" s="11">
        <f>(RCVM)*474.37</f>
        <v>474.37</v>
      </c>
    </row>
    <row r="153" spans="1:7" x14ac:dyDescent="0.2">
      <c r="A153" s="9" t="s">
        <v>3172</v>
      </c>
      <c r="B153" s="9">
        <v>22</v>
      </c>
      <c r="C153" s="9">
        <v>900</v>
      </c>
      <c r="D153" s="9">
        <v>1200</v>
      </c>
      <c r="E153" s="2" t="s">
        <v>3173</v>
      </c>
      <c r="F153" s="10">
        <v>546.38</v>
      </c>
      <c r="G153" s="11">
        <f>(RCVM)*546.38</f>
        <v>546.38</v>
      </c>
    </row>
    <row r="154" spans="1:7" x14ac:dyDescent="0.2">
      <c r="A154" s="9" t="s">
        <v>3174</v>
      </c>
      <c r="B154" s="9">
        <v>22</v>
      </c>
      <c r="C154" s="9">
        <v>900</v>
      </c>
      <c r="D154" s="9">
        <v>1400</v>
      </c>
      <c r="E154" s="2" t="s">
        <v>3175</v>
      </c>
      <c r="F154" s="10">
        <v>618.08000000000004</v>
      </c>
      <c r="G154" s="11">
        <f>(RCVM)*618.08</f>
        <v>618.08000000000004</v>
      </c>
    </row>
    <row r="155" spans="1:7" x14ac:dyDescent="0.2">
      <c r="A155" s="9" t="s">
        <v>3176</v>
      </c>
      <c r="B155" s="9">
        <v>22</v>
      </c>
      <c r="C155" s="9">
        <v>900</v>
      </c>
      <c r="D155" s="9">
        <v>1600</v>
      </c>
      <c r="E155" s="2" t="s">
        <v>3177</v>
      </c>
      <c r="F155" s="10">
        <v>689.77</v>
      </c>
      <c r="G155" s="11">
        <f>(RCVM)*689.77</f>
        <v>689.77</v>
      </c>
    </row>
    <row r="156" spans="1:7" x14ac:dyDescent="0.2">
      <c r="A156" s="9" t="s">
        <v>3178</v>
      </c>
      <c r="B156" s="9">
        <v>22</v>
      </c>
      <c r="C156" s="9">
        <v>900</v>
      </c>
      <c r="D156" s="9">
        <v>1800</v>
      </c>
      <c r="E156" s="2" t="s">
        <v>3179</v>
      </c>
      <c r="F156" s="10">
        <v>761.37</v>
      </c>
      <c r="G156" s="11">
        <f>(RCVM)*761.37</f>
        <v>761.37</v>
      </c>
    </row>
    <row r="157" spans="1:7" x14ac:dyDescent="0.2">
      <c r="A157" s="9" t="s">
        <v>3180</v>
      </c>
      <c r="B157" s="9">
        <v>22</v>
      </c>
      <c r="C157" s="9">
        <v>900</v>
      </c>
      <c r="D157" s="9">
        <v>2000</v>
      </c>
      <c r="E157" s="2" t="s">
        <v>3181</v>
      </c>
      <c r="F157" s="10">
        <v>834.08</v>
      </c>
      <c r="G157" s="11">
        <f>(RCVM)*834.08</f>
        <v>834.08</v>
      </c>
    </row>
    <row r="158" spans="1:7" x14ac:dyDescent="0.2">
      <c r="A158" s="9" t="s">
        <v>3182</v>
      </c>
      <c r="B158" s="9">
        <v>33</v>
      </c>
      <c r="C158" s="9">
        <v>300</v>
      </c>
      <c r="D158" s="9">
        <v>400</v>
      </c>
      <c r="E158" s="2" t="s">
        <v>3183</v>
      </c>
      <c r="F158" s="10">
        <v>281.01</v>
      </c>
      <c r="G158" s="11">
        <f>(RCVM)*281.01</f>
        <v>281.01</v>
      </c>
    </row>
    <row r="159" spans="1:7" x14ac:dyDescent="0.2">
      <c r="A159" s="9" t="s">
        <v>3184</v>
      </c>
      <c r="B159" s="9">
        <v>33</v>
      </c>
      <c r="C159" s="9">
        <v>300</v>
      </c>
      <c r="D159" s="9">
        <v>500</v>
      </c>
      <c r="E159" s="2" t="s">
        <v>3185</v>
      </c>
      <c r="F159" s="10">
        <v>295.94</v>
      </c>
      <c r="G159" s="11">
        <f>(RCVM)*295.94</f>
        <v>295.94</v>
      </c>
    </row>
    <row r="160" spans="1:7" x14ac:dyDescent="0.2">
      <c r="A160" s="9" t="s">
        <v>3186</v>
      </c>
      <c r="B160" s="9">
        <v>33</v>
      </c>
      <c r="C160" s="9">
        <v>300</v>
      </c>
      <c r="D160" s="9">
        <v>600</v>
      </c>
      <c r="E160" s="2" t="s">
        <v>3187</v>
      </c>
      <c r="F160" s="10">
        <v>311.62</v>
      </c>
      <c r="G160" s="11">
        <f>(RCVM)*311.62</f>
        <v>311.62</v>
      </c>
    </row>
    <row r="161" spans="1:7" x14ac:dyDescent="0.2">
      <c r="A161" s="9" t="s">
        <v>3188</v>
      </c>
      <c r="B161" s="9">
        <v>33</v>
      </c>
      <c r="C161" s="9">
        <v>300</v>
      </c>
      <c r="D161" s="9">
        <v>800</v>
      </c>
      <c r="E161" s="2" t="s">
        <v>3189</v>
      </c>
      <c r="F161" s="10">
        <v>347.31</v>
      </c>
      <c r="G161" s="11">
        <f>(RCVM)*347.31</f>
        <v>347.31</v>
      </c>
    </row>
    <row r="162" spans="1:7" x14ac:dyDescent="0.2">
      <c r="A162" s="9" t="s">
        <v>3190</v>
      </c>
      <c r="B162" s="9">
        <v>33</v>
      </c>
      <c r="C162" s="9">
        <v>300</v>
      </c>
      <c r="D162" s="9">
        <v>1000</v>
      </c>
      <c r="E162" s="2" t="s">
        <v>3191</v>
      </c>
      <c r="F162" s="10">
        <v>382.9</v>
      </c>
      <c r="G162" s="11">
        <f>(RCVM)*382.9</f>
        <v>382.9</v>
      </c>
    </row>
    <row r="163" spans="1:7" x14ac:dyDescent="0.2">
      <c r="A163" s="9" t="s">
        <v>3192</v>
      </c>
      <c r="B163" s="9">
        <v>33</v>
      </c>
      <c r="C163" s="9">
        <v>300</v>
      </c>
      <c r="D163" s="9">
        <v>1200</v>
      </c>
      <c r="E163" s="2" t="s">
        <v>3193</v>
      </c>
      <c r="F163" s="10">
        <v>420.17</v>
      </c>
      <c r="G163" s="11">
        <f>(RCVM)*420.17</f>
        <v>420.17</v>
      </c>
    </row>
    <row r="164" spans="1:7" x14ac:dyDescent="0.2">
      <c r="A164" s="9" t="s">
        <v>3194</v>
      </c>
      <c r="B164" s="9">
        <v>33</v>
      </c>
      <c r="C164" s="9">
        <v>300</v>
      </c>
      <c r="D164" s="9">
        <v>1400</v>
      </c>
      <c r="E164" s="2" t="s">
        <v>3195</v>
      </c>
      <c r="F164" s="10">
        <v>457.16</v>
      </c>
      <c r="G164" s="11">
        <f>(RCVM)*457.16</f>
        <v>457.16</v>
      </c>
    </row>
    <row r="165" spans="1:7" x14ac:dyDescent="0.2">
      <c r="A165" s="9" t="s">
        <v>3196</v>
      </c>
      <c r="B165" s="9">
        <v>33</v>
      </c>
      <c r="C165" s="9">
        <v>300</v>
      </c>
      <c r="D165" s="9">
        <v>1600</v>
      </c>
      <c r="E165" s="2" t="s">
        <v>3197</v>
      </c>
      <c r="F165" s="10">
        <v>493.87</v>
      </c>
      <c r="G165" s="11">
        <f>(RCVM)*493.87</f>
        <v>493.87</v>
      </c>
    </row>
    <row r="166" spans="1:7" x14ac:dyDescent="0.2">
      <c r="A166" s="9" t="s">
        <v>3198</v>
      </c>
      <c r="B166" s="9">
        <v>33</v>
      </c>
      <c r="C166" s="9">
        <v>300</v>
      </c>
      <c r="D166" s="9">
        <v>1800</v>
      </c>
      <c r="E166" s="2" t="s">
        <v>3199</v>
      </c>
      <c r="F166" s="10">
        <v>519.47</v>
      </c>
      <c r="G166" s="11">
        <f>(RCVM)*519.47</f>
        <v>519.47</v>
      </c>
    </row>
    <row r="167" spans="1:7" x14ac:dyDescent="0.2">
      <c r="A167" s="9" t="s">
        <v>3200</v>
      </c>
      <c r="B167" s="9">
        <v>33</v>
      </c>
      <c r="C167" s="9">
        <v>300</v>
      </c>
      <c r="D167" s="9">
        <v>2000</v>
      </c>
      <c r="E167" s="2" t="s">
        <v>3201</v>
      </c>
      <c r="F167" s="10">
        <v>567.15</v>
      </c>
      <c r="G167" s="11">
        <f>(RCVM)*567.15</f>
        <v>567.15</v>
      </c>
    </row>
    <row r="168" spans="1:7" x14ac:dyDescent="0.2">
      <c r="A168" s="9" t="s">
        <v>3202</v>
      </c>
      <c r="B168" s="9">
        <v>33</v>
      </c>
      <c r="C168" s="9">
        <v>300</v>
      </c>
      <c r="D168" s="9">
        <v>2300</v>
      </c>
      <c r="E168" s="2" t="s">
        <v>3203</v>
      </c>
      <c r="F168" s="10">
        <v>622.48</v>
      </c>
      <c r="G168" s="11">
        <f>(RCVM)*622.48</f>
        <v>622.48</v>
      </c>
    </row>
    <row r="169" spans="1:7" x14ac:dyDescent="0.2">
      <c r="A169" s="9" t="s">
        <v>3204</v>
      </c>
      <c r="B169" s="9">
        <v>33</v>
      </c>
      <c r="C169" s="9">
        <v>300</v>
      </c>
      <c r="D169" s="9">
        <v>2600</v>
      </c>
      <c r="E169" s="2" t="s">
        <v>3205</v>
      </c>
      <c r="F169" s="10">
        <v>677.69</v>
      </c>
      <c r="G169" s="11">
        <f>(RCVM)*677.69</f>
        <v>677.69</v>
      </c>
    </row>
    <row r="170" spans="1:7" x14ac:dyDescent="0.2">
      <c r="A170" s="9" t="s">
        <v>3206</v>
      </c>
      <c r="B170" s="9">
        <v>33</v>
      </c>
      <c r="C170" s="9">
        <v>300</v>
      </c>
      <c r="D170" s="9">
        <v>3000</v>
      </c>
      <c r="E170" s="2" t="s">
        <v>3207</v>
      </c>
      <c r="F170" s="10">
        <v>734.73</v>
      </c>
      <c r="G170" s="11">
        <f>(RCVM)*734.73</f>
        <v>734.73</v>
      </c>
    </row>
    <row r="171" spans="1:7" x14ac:dyDescent="0.2">
      <c r="A171" s="9" t="s">
        <v>3208</v>
      </c>
      <c r="B171" s="9">
        <v>33</v>
      </c>
      <c r="C171" s="9">
        <v>500</v>
      </c>
      <c r="D171" s="9">
        <v>400</v>
      </c>
      <c r="E171" s="2" t="s">
        <v>3209</v>
      </c>
      <c r="F171" s="10">
        <v>328.23</v>
      </c>
      <c r="G171" s="11">
        <f>(RCVM)*328.23</f>
        <v>328.23</v>
      </c>
    </row>
    <row r="172" spans="1:7" x14ac:dyDescent="0.2">
      <c r="A172" s="9" t="s">
        <v>3210</v>
      </c>
      <c r="B172" s="9">
        <v>33</v>
      </c>
      <c r="C172" s="9">
        <v>500</v>
      </c>
      <c r="D172" s="9">
        <v>500</v>
      </c>
      <c r="E172" s="2" t="s">
        <v>3211</v>
      </c>
      <c r="F172" s="10">
        <v>349.89</v>
      </c>
      <c r="G172" s="11">
        <f>(RCVM)*349.89</f>
        <v>349.89</v>
      </c>
    </row>
    <row r="173" spans="1:7" x14ac:dyDescent="0.2">
      <c r="A173" s="9" t="s">
        <v>3212</v>
      </c>
      <c r="B173" s="9">
        <v>33</v>
      </c>
      <c r="C173" s="9">
        <v>500</v>
      </c>
      <c r="D173" s="9">
        <v>600</v>
      </c>
      <c r="E173" s="2" t="s">
        <v>3213</v>
      </c>
      <c r="F173" s="10">
        <v>373.21</v>
      </c>
      <c r="G173" s="11">
        <f>(RCVM)*373.21</f>
        <v>373.21</v>
      </c>
    </row>
    <row r="174" spans="1:7" x14ac:dyDescent="0.2">
      <c r="A174" s="9" t="s">
        <v>3214</v>
      </c>
      <c r="B174" s="9">
        <v>33</v>
      </c>
      <c r="C174" s="9">
        <v>500</v>
      </c>
      <c r="D174" s="9">
        <v>800</v>
      </c>
      <c r="E174" s="2" t="s">
        <v>3215</v>
      </c>
      <c r="F174" s="10">
        <v>423</v>
      </c>
      <c r="G174" s="11">
        <f>(RCVM)*423</f>
        <v>423</v>
      </c>
    </row>
    <row r="175" spans="1:7" x14ac:dyDescent="0.2">
      <c r="A175" s="9" t="s">
        <v>3216</v>
      </c>
      <c r="B175" s="9">
        <v>33</v>
      </c>
      <c r="C175" s="9">
        <v>500</v>
      </c>
      <c r="D175" s="9">
        <v>1000</v>
      </c>
      <c r="E175" s="2" t="s">
        <v>3217</v>
      </c>
      <c r="F175" s="10">
        <v>479.07</v>
      </c>
      <c r="G175" s="11">
        <f>(RCVM)*479.07</f>
        <v>479.07</v>
      </c>
    </row>
    <row r="176" spans="1:7" x14ac:dyDescent="0.2">
      <c r="A176" s="9" t="s">
        <v>3218</v>
      </c>
      <c r="B176" s="9">
        <v>33</v>
      </c>
      <c r="C176" s="9">
        <v>500</v>
      </c>
      <c r="D176" s="9">
        <v>1200</v>
      </c>
      <c r="E176" s="2" t="s">
        <v>3219</v>
      </c>
      <c r="F176" s="10">
        <v>534.98</v>
      </c>
      <c r="G176" s="11">
        <f>(RCVM)*534.98</f>
        <v>534.98</v>
      </c>
    </row>
    <row r="177" spans="1:7" x14ac:dyDescent="0.2">
      <c r="A177" s="9" t="s">
        <v>3220</v>
      </c>
      <c r="B177" s="9">
        <v>33</v>
      </c>
      <c r="C177" s="9">
        <v>500</v>
      </c>
      <c r="D177" s="9">
        <v>1400</v>
      </c>
      <c r="E177" s="2" t="s">
        <v>3221</v>
      </c>
      <c r="F177" s="10">
        <v>589.91999999999996</v>
      </c>
      <c r="G177" s="11">
        <f>(RCVM)*589.92</f>
        <v>589.91999999999996</v>
      </c>
    </row>
    <row r="178" spans="1:7" x14ac:dyDescent="0.2">
      <c r="A178" s="9" t="s">
        <v>3222</v>
      </c>
      <c r="B178" s="9">
        <v>33</v>
      </c>
      <c r="C178" s="9">
        <v>500</v>
      </c>
      <c r="D178" s="9">
        <v>1600</v>
      </c>
      <c r="E178" s="2" t="s">
        <v>3223</v>
      </c>
      <c r="F178" s="10">
        <v>645.66999999999996</v>
      </c>
      <c r="G178" s="11">
        <f>(RCVM)*645.67</f>
        <v>645.66999999999996</v>
      </c>
    </row>
    <row r="179" spans="1:7" x14ac:dyDescent="0.2">
      <c r="A179" s="9" t="s">
        <v>3224</v>
      </c>
      <c r="B179" s="9">
        <v>33</v>
      </c>
      <c r="C179" s="9">
        <v>500</v>
      </c>
      <c r="D179" s="9">
        <v>1800</v>
      </c>
      <c r="E179" s="2" t="s">
        <v>3225</v>
      </c>
      <c r="F179" s="10">
        <v>700.73</v>
      </c>
      <c r="G179" s="11">
        <f>(RCVM)*700.73</f>
        <v>700.73</v>
      </c>
    </row>
    <row r="180" spans="1:7" x14ac:dyDescent="0.2">
      <c r="A180" s="9" t="s">
        <v>3226</v>
      </c>
      <c r="B180" s="9">
        <v>33</v>
      </c>
      <c r="C180" s="9">
        <v>500</v>
      </c>
      <c r="D180" s="9">
        <v>2000</v>
      </c>
      <c r="E180" s="2" t="s">
        <v>3227</v>
      </c>
      <c r="F180" s="10">
        <v>755.95</v>
      </c>
      <c r="G180" s="11">
        <f>(RCVM)*755.95</f>
        <v>755.95</v>
      </c>
    </row>
    <row r="181" spans="1:7" x14ac:dyDescent="0.2">
      <c r="A181" s="9" t="s">
        <v>3228</v>
      </c>
      <c r="B181" s="9">
        <v>33</v>
      </c>
      <c r="C181" s="9">
        <v>500</v>
      </c>
      <c r="D181" s="9">
        <v>2300</v>
      </c>
      <c r="E181" s="2" t="s">
        <v>3229</v>
      </c>
      <c r="F181" s="10">
        <v>839.91</v>
      </c>
      <c r="G181" s="11">
        <f>(RCVM)*839.91</f>
        <v>839.91</v>
      </c>
    </row>
    <row r="182" spans="1:7" x14ac:dyDescent="0.2">
      <c r="A182" s="9" t="s">
        <v>3230</v>
      </c>
      <c r="B182" s="9">
        <v>33</v>
      </c>
      <c r="C182" s="9">
        <v>500</v>
      </c>
      <c r="D182" s="9">
        <v>2600</v>
      </c>
      <c r="E182" s="2" t="s">
        <v>3231</v>
      </c>
      <c r="F182" s="10">
        <v>922.99</v>
      </c>
      <c r="G182" s="11">
        <f>(RCVM)*922.99</f>
        <v>922.99</v>
      </c>
    </row>
    <row r="183" spans="1:7" x14ac:dyDescent="0.2">
      <c r="A183" s="9" t="s">
        <v>3232</v>
      </c>
      <c r="B183" s="9">
        <v>33</v>
      </c>
      <c r="C183" s="9">
        <v>500</v>
      </c>
      <c r="D183" s="9">
        <v>3000</v>
      </c>
      <c r="E183" s="2" t="s">
        <v>3233</v>
      </c>
      <c r="F183" s="10">
        <v>1014.07</v>
      </c>
      <c r="G183" s="11">
        <f>(RCVM)*1014.07</f>
        <v>1014.07</v>
      </c>
    </row>
    <row r="184" spans="1:7" x14ac:dyDescent="0.2">
      <c r="A184" s="9" t="s">
        <v>3234</v>
      </c>
      <c r="B184" s="9">
        <v>33</v>
      </c>
      <c r="C184" s="9">
        <v>600</v>
      </c>
      <c r="D184" s="9">
        <v>400</v>
      </c>
      <c r="E184" s="2" t="s">
        <v>3235</v>
      </c>
      <c r="F184" s="10">
        <v>345.74</v>
      </c>
      <c r="G184" s="11">
        <f>(RCVM)*345.74</f>
        <v>345.74</v>
      </c>
    </row>
    <row r="185" spans="1:7" x14ac:dyDescent="0.2">
      <c r="A185" s="9" t="s">
        <v>3236</v>
      </c>
      <c r="B185" s="9">
        <v>33</v>
      </c>
      <c r="C185" s="9">
        <v>600</v>
      </c>
      <c r="D185" s="9">
        <v>500</v>
      </c>
      <c r="E185" s="2" t="s">
        <v>3237</v>
      </c>
      <c r="F185" s="10">
        <v>368.39</v>
      </c>
      <c r="G185" s="11">
        <f>(RCVM)*368.39</f>
        <v>368.39</v>
      </c>
    </row>
    <row r="186" spans="1:7" x14ac:dyDescent="0.2">
      <c r="A186" s="9" t="s">
        <v>3238</v>
      </c>
      <c r="B186" s="9">
        <v>33</v>
      </c>
      <c r="C186" s="9">
        <v>600</v>
      </c>
      <c r="D186" s="9">
        <v>600</v>
      </c>
      <c r="E186" s="2" t="s">
        <v>3239</v>
      </c>
      <c r="F186" s="10">
        <v>393.67</v>
      </c>
      <c r="G186" s="11">
        <f>(RCVM)*393.67</f>
        <v>393.67</v>
      </c>
    </row>
    <row r="187" spans="1:7" x14ac:dyDescent="0.2">
      <c r="A187" s="9" t="s">
        <v>3240</v>
      </c>
      <c r="B187" s="9">
        <v>33</v>
      </c>
      <c r="C187" s="9">
        <v>600</v>
      </c>
      <c r="D187" s="9">
        <v>800</v>
      </c>
      <c r="E187" s="2" t="s">
        <v>3241</v>
      </c>
      <c r="F187" s="10">
        <v>449.75</v>
      </c>
      <c r="G187" s="11">
        <f>(RCVM)*449.75</f>
        <v>449.75</v>
      </c>
    </row>
    <row r="188" spans="1:7" ht="13.9" customHeight="1" x14ac:dyDescent="0.2">
      <c r="A188" s="9" t="s">
        <v>3242</v>
      </c>
      <c r="B188" s="9">
        <v>33</v>
      </c>
      <c r="C188" s="9">
        <v>600</v>
      </c>
      <c r="D188" s="9">
        <v>1000</v>
      </c>
      <c r="E188" s="2" t="s">
        <v>3243</v>
      </c>
      <c r="F188" s="10">
        <v>511.09</v>
      </c>
      <c r="G188" s="11">
        <f>(RCVM)*511.09</f>
        <v>511.09</v>
      </c>
    </row>
    <row r="189" spans="1:7" x14ac:dyDescent="0.2">
      <c r="A189" s="9" t="s">
        <v>3244</v>
      </c>
      <c r="B189" s="9">
        <v>33</v>
      </c>
      <c r="C189" s="9">
        <v>600</v>
      </c>
      <c r="D189" s="9">
        <v>1200</v>
      </c>
      <c r="E189" s="2" t="s">
        <v>3245</v>
      </c>
      <c r="F189" s="10">
        <v>572.67999999999995</v>
      </c>
      <c r="G189" s="11">
        <f>(RCVM)*572.68</f>
        <v>572.67999999999995</v>
      </c>
    </row>
    <row r="190" spans="1:7" x14ac:dyDescent="0.2">
      <c r="A190" s="9" t="s">
        <v>3246</v>
      </c>
      <c r="B190" s="9">
        <v>33</v>
      </c>
      <c r="C190" s="9">
        <v>600</v>
      </c>
      <c r="D190" s="9">
        <v>1400</v>
      </c>
      <c r="E190" s="2" t="s">
        <v>3247</v>
      </c>
      <c r="F190" s="10">
        <v>633.87</v>
      </c>
      <c r="G190" s="11">
        <f>(RCVM)*633.87</f>
        <v>633.87</v>
      </c>
    </row>
    <row r="191" spans="1:7" x14ac:dyDescent="0.2">
      <c r="A191" s="9" t="s">
        <v>3248</v>
      </c>
      <c r="B191" s="9">
        <v>33</v>
      </c>
      <c r="C191" s="9">
        <v>600</v>
      </c>
      <c r="D191" s="9">
        <v>1600</v>
      </c>
      <c r="E191" s="2" t="s">
        <v>3249</v>
      </c>
      <c r="F191" s="10">
        <v>696.08</v>
      </c>
      <c r="G191" s="11">
        <f>(RCVM)*696.08</f>
        <v>696.08</v>
      </c>
    </row>
    <row r="192" spans="1:7" x14ac:dyDescent="0.2">
      <c r="A192" s="9" t="s">
        <v>3250</v>
      </c>
      <c r="B192" s="9">
        <v>33</v>
      </c>
      <c r="C192" s="9">
        <v>600</v>
      </c>
      <c r="D192" s="9">
        <v>1800</v>
      </c>
      <c r="E192" s="2" t="s">
        <v>3251</v>
      </c>
      <c r="F192" s="10">
        <v>757.22</v>
      </c>
      <c r="G192" s="11">
        <f>(RCVM)*757.22</f>
        <v>757.22</v>
      </c>
    </row>
    <row r="193" spans="1:7" x14ac:dyDescent="0.2">
      <c r="A193" s="9" t="s">
        <v>3252</v>
      </c>
      <c r="B193" s="9">
        <v>33</v>
      </c>
      <c r="C193" s="9">
        <v>600</v>
      </c>
      <c r="D193" s="9">
        <v>2000</v>
      </c>
      <c r="E193" s="2" t="s">
        <v>3253</v>
      </c>
      <c r="F193" s="10">
        <v>819.71</v>
      </c>
      <c r="G193" s="11">
        <f>(RCVM)*819.71</f>
        <v>819.71</v>
      </c>
    </row>
    <row r="194" spans="1:7" x14ac:dyDescent="0.2">
      <c r="A194" s="9" t="s">
        <v>3254</v>
      </c>
      <c r="B194" s="9">
        <v>33</v>
      </c>
      <c r="C194" s="9">
        <v>600</v>
      </c>
      <c r="D194" s="9">
        <v>2300</v>
      </c>
      <c r="E194" s="2" t="s">
        <v>3255</v>
      </c>
      <c r="F194" s="10">
        <v>911.77</v>
      </c>
      <c r="G194" s="11">
        <f>(RCVM)*911.77</f>
        <v>911.77</v>
      </c>
    </row>
    <row r="195" spans="1:7" x14ac:dyDescent="0.2">
      <c r="A195" s="9" t="s">
        <v>3256</v>
      </c>
      <c r="B195" s="9">
        <v>33</v>
      </c>
      <c r="C195" s="9">
        <v>600</v>
      </c>
      <c r="D195" s="9">
        <v>2600</v>
      </c>
      <c r="E195" s="2" t="s">
        <v>3257</v>
      </c>
      <c r="F195" s="10">
        <v>1004.94</v>
      </c>
      <c r="G195" s="11">
        <f>(RCVM)*1004.94</f>
        <v>1004.94</v>
      </c>
    </row>
    <row r="196" spans="1:7" x14ac:dyDescent="0.2">
      <c r="A196" s="9" t="s">
        <v>3258</v>
      </c>
      <c r="B196" s="9">
        <v>33</v>
      </c>
      <c r="C196" s="9">
        <v>600</v>
      </c>
      <c r="D196" s="9">
        <v>3000</v>
      </c>
      <c r="E196" s="2" t="s">
        <v>3259</v>
      </c>
      <c r="F196" s="10">
        <v>1106.83</v>
      </c>
      <c r="G196" s="11">
        <f>(RCVM)*1106.83</f>
        <v>1106.83</v>
      </c>
    </row>
    <row r="197" spans="1:7" x14ac:dyDescent="0.2">
      <c r="A197" s="9" t="s">
        <v>3260</v>
      </c>
      <c r="B197" s="9">
        <v>33</v>
      </c>
      <c r="C197" s="9">
        <v>900</v>
      </c>
      <c r="D197" s="9">
        <v>400</v>
      </c>
      <c r="E197" s="2" t="s">
        <v>3261</v>
      </c>
      <c r="F197" s="10">
        <v>359.55</v>
      </c>
      <c r="G197" s="11">
        <f>(RCVM)*359.55</f>
        <v>359.55</v>
      </c>
    </row>
    <row r="198" spans="1:7" x14ac:dyDescent="0.2">
      <c r="A198" s="9" t="s">
        <v>3262</v>
      </c>
      <c r="B198" s="9">
        <v>33</v>
      </c>
      <c r="C198" s="9">
        <v>900</v>
      </c>
      <c r="D198" s="9">
        <v>500</v>
      </c>
      <c r="E198" s="2" t="s">
        <v>3263</v>
      </c>
      <c r="F198" s="10">
        <v>399.68</v>
      </c>
      <c r="G198" s="11">
        <f>(RCVM)*399.68</f>
        <v>399.68</v>
      </c>
    </row>
    <row r="199" spans="1:7" x14ac:dyDescent="0.2">
      <c r="A199" s="9" t="s">
        <v>3264</v>
      </c>
      <c r="B199" s="9">
        <v>33</v>
      </c>
      <c r="C199" s="9">
        <v>900</v>
      </c>
      <c r="D199" s="9">
        <v>600</v>
      </c>
      <c r="E199" s="2" t="s">
        <v>3265</v>
      </c>
      <c r="F199" s="10">
        <v>444.79</v>
      </c>
      <c r="G199" s="11">
        <f>(RCVM)*444.79</f>
        <v>444.79</v>
      </c>
    </row>
    <row r="200" spans="1:7" x14ac:dyDescent="0.2">
      <c r="A200" s="9" t="s">
        <v>3266</v>
      </c>
      <c r="B200" s="9">
        <v>33</v>
      </c>
      <c r="C200" s="9">
        <v>900</v>
      </c>
      <c r="D200" s="9">
        <v>800</v>
      </c>
      <c r="E200" s="2" t="s">
        <v>3267</v>
      </c>
      <c r="F200" s="10">
        <v>553.91999999999996</v>
      </c>
      <c r="G200" s="11">
        <f>(RCVM)*553.92</f>
        <v>553.91999999999996</v>
      </c>
    </row>
    <row r="201" spans="1:7" x14ac:dyDescent="0.2">
      <c r="A201" s="9" t="s">
        <v>3268</v>
      </c>
      <c r="B201" s="9">
        <v>33</v>
      </c>
      <c r="C201" s="9">
        <v>900</v>
      </c>
      <c r="D201" s="9">
        <v>1000</v>
      </c>
      <c r="E201" s="2" t="s">
        <v>3269</v>
      </c>
      <c r="F201" s="10">
        <v>626.20000000000005</v>
      </c>
      <c r="G201" s="11">
        <f>(RCVM)*626.2</f>
        <v>626.20000000000005</v>
      </c>
    </row>
    <row r="202" spans="1:7" x14ac:dyDescent="0.2">
      <c r="A202" s="9" t="s">
        <v>3270</v>
      </c>
      <c r="B202" s="9">
        <v>33</v>
      </c>
      <c r="C202" s="9">
        <v>900</v>
      </c>
      <c r="D202" s="9">
        <v>1200</v>
      </c>
      <c r="E202" s="2" t="s">
        <v>3271</v>
      </c>
      <c r="F202" s="10">
        <v>709.41</v>
      </c>
      <c r="G202" s="11">
        <f>(RCVM)*709.41</f>
        <v>709.41</v>
      </c>
    </row>
    <row r="203" spans="1:7" x14ac:dyDescent="0.2">
      <c r="A203" s="9" t="s">
        <v>3272</v>
      </c>
      <c r="B203" s="9">
        <v>33</v>
      </c>
      <c r="C203" s="9">
        <v>900</v>
      </c>
      <c r="D203" s="9">
        <v>1400</v>
      </c>
      <c r="E203" s="2" t="s">
        <v>3273</v>
      </c>
      <c r="F203" s="10">
        <v>784.98</v>
      </c>
      <c r="G203" s="11">
        <f>(RCVM)*784.98</f>
        <v>784.98</v>
      </c>
    </row>
    <row r="204" spans="1:7" x14ac:dyDescent="0.2">
      <c r="A204" s="9" t="s">
        <v>3274</v>
      </c>
      <c r="B204" s="9">
        <v>33</v>
      </c>
      <c r="C204" s="9">
        <v>900</v>
      </c>
      <c r="D204" s="9">
        <v>1600</v>
      </c>
      <c r="E204" s="2" t="s">
        <v>3275</v>
      </c>
      <c r="F204" s="10">
        <v>858.25</v>
      </c>
      <c r="G204" s="11">
        <f>(RCVM)*858.25</f>
        <v>858.25</v>
      </c>
    </row>
    <row r="205" spans="1:7" x14ac:dyDescent="0.2">
      <c r="A205" s="9" t="s">
        <v>3276</v>
      </c>
      <c r="B205" s="9">
        <v>33</v>
      </c>
      <c r="C205" s="9">
        <v>900</v>
      </c>
      <c r="D205" s="9">
        <v>1800</v>
      </c>
      <c r="E205" s="2" t="s">
        <v>3277</v>
      </c>
      <c r="F205" s="10">
        <v>938.49</v>
      </c>
      <c r="G205" s="11">
        <f>(RCVM)*938.49</f>
        <v>938.49</v>
      </c>
    </row>
    <row r="206" spans="1:7" x14ac:dyDescent="0.2">
      <c r="A206" s="9" t="s">
        <v>3278</v>
      </c>
      <c r="B206" s="9">
        <v>33</v>
      </c>
      <c r="C206" s="9">
        <v>900</v>
      </c>
      <c r="D206" s="9">
        <v>2000</v>
      </c>
      <c r="E206" s="2" t="s">
        <v>3279</v>
      </c>
      <c r="F206" s="10">
        <v>1009.79</v>
      </c>
      <c r="G206" s="11">
        <f>(RCVM)*1009.79</f>
        <v>1009.79</v>
      </c>
    </row>
    <row r="207" spans="1:7" x14ac:dyDescent="0.2"/>
    <row r="208" spans="1:7" x14ac:dyDescent="0.2"/>
  </sheetData>
  <autoFilter ref="A10:J206"/>
  <hyperlinks>
    <hyperlink ref="C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PURMO Compact</vt:lpstr>
      <vt:lpstr>PURMO Compact Ventil</vt:lpstr>
      <vt:lpstr>PURMO Plan Compact</vt:lpstr>
      <vt:lpstr>PURMO Plan CV</vt:lpstr>
      <vt:lpstr>Ramo Compact</vt:lpstr>
      <vt:lpstr>PURMO Ramo CVM</vt:lpstr>
      <vt:lpstr>Compact</vt:lpstr>
      <vt:lpstr>CV</vt:lpstr>
      <vt:lpstr>F_R_Comp</vt:lpstr>
      <vt:lpstr>FCV</vt:lpstr>
      <vt:lpstr>R_C</vt:lpstr>
      <vt:lpstr>RCVM</vt:lpstr>
    </vt:vector>
  </TitlesOfParts>
  <Company>Rettig Radiaator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Risto Muldme</dc:creator>
  <cp:lastModifiedBy>Margus Kaasik</cp:lastModifiedBy>
  <cp:lastPrinted>2017-03-08T10:31:11Z</cp:lastPrinted>
  <dcterms:created xsi:type="dcterms:W3CDTF">2006-09-13T12:56:02Z</dcterms:created>
  <dcterms:modified xsi:type="dcterms:W3CDTF">2021-01-26T09:04:44Z</dcterms:modified>
</cp:coreProperties>
</file>