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oma\Documents\MINU DOK\HINNAD\HINNAKIRJAD 2016\"/>
    </mc:Choice>
  </mc:AlternateContent>
  <bookViews>
    <workbookView xWindow="-330" yWindow="-60" windowWidth="8760" windowHeight="5865" tabRatio="897"/>
  </bookViews>
  <sheets>
    <sheet name="Compact" sheetId="1" r:id="rId1"/>
    <sheet name="CV" sheetId="2" r:id="rId2"/>
    <sheet name="Plan CV" sheetId="19" r:id="rId3"/>
    <sheet name="Ramo CV" sheetId="20" r:id="rId4"/>
    <sheet name="Plan Compact" sheetId="21" r:id="rId5"/>
    <sheet name="Ramo Compact" sheetId="22" r:id="rId6"/>
    <sheet name="Hygiene" sheetId="17" r:id="rId7"/>
    <sheet name="Plan Hygiene" sheetId="23" r:id="rId8"/>
    <sheet name="CVM" sheetId="26" r:id="rId9"/>
    <sheet name="Plan CVM" sheetId="27" r:id="rId10"/>
    <sheet name="KON" sheetId="4" r:id="rId11"/>
    <sheet name="TowelWarmers" sheetId="25" r:id="rId12"/>
    <sheet name="Deco&amp;Vert" sheetId="7" r:id="rId13"/>
    <sheet name="Vido" sheetId="18" r:id="rId14"/>
    <sheet name="Delta Design" sheetId="10" r:id="rId15"/>
    <sheet name="AIR+Accessories" sheetId="5" r:id="rId16"/>
    <sheet name="Narbonne" sheetId="12" r:id="rId17"/>
    <sheet name="Narbonne VT" sheetId="13" r:id="rId18"/>
    <sheet name="Narbonne Vert" sheetId="14" r:id="rId19"/>
  </sheets>
  <externalReferences>
    <externalReference r:id="rId20"/>
  </externalReferences>
  <definedNames>
    <definedName name="CONSTCV">CV!$A$23</definedName>
    <definedName name="CONSTPC">'Plan Compact'!$A$22</definedName>
    <definedName name="CONSTPCV">'Plan CV'!$A$22</definedName>
    <definedName name="CONSTPH">'Plan Hygiene'!$A$24</definedName>
    <definedName name="CONSTRC">'Ramo Compact'!$A$22</definedName>
    <definedName name="CONSTRCV">'Ramo CV'!$A$22</definedName>
    <definedName name="CONSTV">Vido!$A$7</definedName>
    <definedName name="DISNARVE">'Narbonne Vert'!$A$6</definedName>
    <definedName name="KONSRA">#REF!</definedName>
    <definedName name="KONST">Compact!$A$22</definedName>
    <definedName name="KONSTCV">CV!$A$23</definedName>
    <definedName name="KONSTD">'Delta Design'!$L$5</definedName>
    <definedName name="KONSTH">#REF!</definedName>
    <definedName name="KONSTHN">Hygiene!$A$24</definedName>
    <definedName name="KONSTK">KON!$A$20</definedName>
    <definedName name="KONSTL">'AIR+Accessories'!$A$50</definedName>
    <definedName name="KONSTM">CVM!$B$22</definedName>
    <definedName name="KONSTNA">Narbonne!$A$6</definedName>
    <definedName name="KONSTNAVT">'Narbonne VT'!$A$6</definedName>
    <definedName name="KONSTP">#REF!</definedName>
    <definedName name="KONSTPM">'Plan CVM'!$B$22</definedName>
    <definedName name="KONSTTW">TowelWarmers!$A$4</definedName>
    <definedName name="KONSTV">'Deco&amp;Vert'!$A$22</definedName>
    <definedName name="KONSTVE">#REF!</definedName>
    <definedName name="kood">[1]PC!$A$24</definedName>
  </definedNames>
  <calcPr calcId="162913"/>
</workbook>
</file>

<file path=xl/calcChain.xml><?xml version="1.0" encoding="utf-8"?>
<calcChain xmlns="http://schemas.openxmlformats.org/spreadsheetml/2006/main">
  <c r="A23" i="27" l="1"/>
  <c r="B22" i="27"/>
  <c r="B22" i="26"/>
  <c r="A23" i="26"/>
  <c r="N41" i="27" l="1"/>
  <c r="J41" i="27"/>
  <c r="K40" i="27"/>
  <c r="L39" i="27"/>
  <c r="M38" i="27"/>
  <c r="N37" i="27"/>
  <c r="J37" i="27"/>
  <c r="K36" i="27"/>
  <c r="L35" i="27"/>
  <c r="M34" i="27"/>
  <c r="N33" i="27"/>
  <c r="J33" i="27"/>
  <c r="K32" i="27"/>
  <c r="L31" i="27"/>
  <c r="M30" i="27"/>
  <c r="N29" i="27"/>
  <c r="J29" i="27"/>
  <c r="K28" i="27"/>
  <c r="L27" i="27"/>
  <c r="M26" i="27"/>
  <c r="N21" i="27"/>
  <c r="J21" i="27"/>
  <c r="K20" i="27"/>
  <c r="L19" i="27"/>
  <c r="M18" i="27"/>
  <c r="N17" i="27"/>
  <c r="M41" i="27"/>
  <c r="N40" i="27"/>
  <c r="J40" i="27"/>
  <c r="K39" i="27"/>
  <c r="L38" i="27"/>
  <c r="M37" i="27"/>
  <c r="N36" i="27"/>
  <c r="J36" i="27"/>
  <c r="K35" i="27"/>
  <c r="L34" i="27"/>
  <c r="M33" i="27"/>
  <c r="N32" i="27"/>
  <c r="J32" i="27"/>
  <c r="K31" i="27"/>
  <c r="L30" i="27"/>
  <c r="M29" i="27"/>
  <c r="N28" i="27"/>
  <c r="J28" i="27"/>
  <c r="K27" i="27"/>
  <c r="L26" i="27"/>
  <c r="M21" i="27"/>
  <c r="N20" i="27"/>
  <c r="J20" i="27"/>
  <c r="K19" i="27"/>
  <c r="L18" i="27"/>
  <c r="M40" i="27"/>
  <c r="J39" i="27"/>
  <c r="L37" i="27"/>
  <c r="N35" i="27"/>
  <c r="K34" i="27"/>
  <c r="M32" i="27"/>
  <c r="J31" i="27"/>
  <c r="L29" i="27"/>
  <c r="N27" i="27"/>
  <c r="K26" i="27"/>
  <c r="M20" i="27"/>
  <c r="J19" i="27"/>
  <c r="M17" i="27"/>
  <c r="N16" i="27"/>
  <c r="J16" i="27"/>
  <c r="K15" i="27"/>
  <c r="L14" i="27"/>
  <c r="M13" i="27"/>
  <c r="N12" i="27"/>
  <c r="J12" i="27"/>
  <c r="K11" i="27"/>
  <c r="L10" i="27"/>
  <c r="M9" i="27"/>
  <c r="N8" i="27"/>
  <c r="J8" i="27"/>
  <c r="K7" i="27"/>
  <c r="L6" i="27"/>
  <c r="F41" i="27"/>
  <c r="G40" i="27"/>
  <c r="C40" i="27"/>
  <c r="D39" i="27"/>
  <c r="E38" i="27"/>
  <c r="F37" i="27"/>
  <c r="G36" i="27"/>
  <c r="C36" i="27"/>
  <c r="D35" i="27"/>
  <c r="E34" i="27"/>
  <c r="F33" i="27"/>
  <c r="G32" i="27"/>
  <c r="C32" i="27"/>
  <c r="D31" i="27"/>
  <c r="E30" i="27"/>
  <c r="F29" i="27"/>
  <c r="G28" i="27"/>
  <c r="C28" i="27"/>
  <c r="D27" i="27"/>
  <c r="E26" i="27"/>
  <c r="F21" i="27"/>
  <c r="G20" i="27"/>
  <c r="C20" i="27"/>
  <c r="D19" i="27"/>
  <c r="E18" i="27"/>
  <c r="F17" i="27"/>
  <c r="G16" i="27"/>
  <c r="C16" i="27"/>
  <c r="D15" i="27"/>
  <c r="E14" i="27"/>
  <c r="F13" i="27"/>
  <c r="G12" i="27"/>
  <c r="C12" i="27"/>
  <c r="D11" i="27"/>
  <c r="E10" i="27"/>
  <c r="F9" i="27"/>
  <c r="G8" i="27"/>
  <c r="C8" i="27"/>
  <c r="D7" i="27"/>
  <c r="E6" i="27"/>
  <c r="L40" i="27"/>
  <c r="N38" i="27"/>
  <c r="K37" i="27"/>
  <c r="M35" i="27"/>
  <c r="J34" i="27"/>
  <c r="L32" i="27"/>
  <c r="N30" i="27"/>
  <c r="K29" i="27"/>
  <c r="M27" i="27"/>
  <c r="J26" i="27"/>
  <c r="L20" i="27"/>
  <c r="N18" i="27"/>
  <c r="L17" i="27"/>
  <c r="M16" i="27"/>
  <c r="N15" i="27"/>
  <c r="J15" i="27"/>
  <c r="K14" i="27"/>
  <c r="L13" i="27"/>
  <c r="M12" i="27"/>
  <c r="N11" i="27"/>
  <c r="J11" i="27"/>
  <c r="K10" i="27"/>
  <c r="L9" i="27"/>
  <c r="M8" i="27"/>
  <c r="N7" i="27"/>
  <c r="J7" i="27"/>
  <c r="K6" i="27"/>
  <c r="E41" i="27"/>
  <c r="F40" i="27"/>
  <c r="G39" i="27"/>
  <c r="C39" i="27"/>
  <c r="D38" i="27"/>
  <c r="E37" i="27"/>
  <c r="F36" i="27"/>
  <c r="G35" i="27"/>
  <c r="C35" i="27"/>
  <c r="D34" i="27"/>
  <c r="E33" i="27"/>
  <c r="F32" i="27"/>
  <c r="G31" i="27"/>
  <c r="C31" i="27"/>
  <c r="D30" i="27"/>
  <c r="E29" i="27"/>
  <c r="N39" i="27"/>
  <c r="M36" i="27"/>
  <c r="L33" i="27"/>
  <c r="K30" i="27"/>
  <c r="J27" i="27"/>
  <c r="N19" i="27"/>
  <c r="K17" i="27"/>
  <c r="M15" i="27"/>
  <c r="J14" i="27"/>
  <c r="L12" i="27"/>
  <c r="N10" i="27"/>
  <c r="K9" i="27"/>
  <c r="M7" i="27"/>
  <c r="J6" i="27"/>
  <c r="E40" i="27"/>
  <c r="G38" i="27"/>
  <c r="D37" i="27"/>
  <c r="F35" i="27"/>
  <c r="C34" i="27"/>
  <c r="E32" i="27"/>
  <c r="G30" i="27"/>
  <c r="D29" i="27"/>
  <c r="D28" i="27"/>
  <c r="C27" i="27"/>
  <c r="C26" i="27"/>
  <c r="C21" i="27"/>
  <c r="G19" i="27"/>
  <c r="G18" i="27"/>
  <c r="G17" i="27"/>
  <c r="F16" i="27"/>
  <c r="F15" i="27"/>
  <c r="F14" i="27"/>
  <c r="E13" i="27"/>
  <c r="E12" i="27"/>
  <c r="E11" i="27"/>
  <c r="D10" i="27"/>
  <c r="D9" i="27"/>
  <c r="D8" i="27"/>
  <c r="C7" i="27"/>
  <c r="C6" i="27"/>
  <c r="L41" i="27"/>
  <c r="J35" i="27"/>
  <c r="L21" i="27"/>
  <c r="L16" i="27"/>
  <c r="K13" i="27"/>
  <c r="J10" i="27"/>
  <c r="D41" i="27"/>
  <c r="C38" i="27"/>
  <c r="G34" i="27"/>
  <c r="C30" i="27"/>
  <c r="F27" i="27"/>
  <c r="E21" i="27"/>
  <c r="E19" i="27"/>
  <c r="D17" i="27"/>
  <c r="C15" i="27"/>
  <c r="C13" i="27"/>
  <c r="G10" i="27"/>
  <c r="F8" i="27"/>
  <c r="F6" i="27"/>
  <c r="M39" i="27"/>
  <c r="L36" i="27"/>
  <c r="K33" i="27"/>
  <c r="J30" i="27"/>
  <c r="N26" i="27"/>
  <c r="M19" i="27"/>
  <c r="J17" i="27"/>
  <c r="L15" i="27"/>
  <c r="N13" i="27"/>
  <c r="K12" i="27"/>
  <c r="M10" i="27"/>
  <c r="J9" i="27"/>
  <c r="L7" i="27"/>
  <c r="G41" i="27"/>
  <c r="D40" i="27"/>
  <c r="F38" i="27"/>
  <c r="C37" i="27"/>
  <c r="E35" i="27"/>
  <c r="G33" i="27"/>
  <c r="D32" i="27"/>
  <c r="F30" i="27"/>
  <c r="C29" i="27"/>
  <c r="G27" i="27"/>
  <c r="G26" i="27"/>
  <c r="G21" i="27"/>
  <c r="F20" i="27"/>
  <c r="F19" i="27"/>
  <c r="F18" i="27"/>
  <c r="E17" i="27"/>
  <c r="E16" i="27"/>
  <c r="E15" i="27"/>
  <c r="D14" i="27"/>
  <c r="D13" i="27"/>
  <c r="D12" i="27"/>
  <c r="C11" i="27"/>
  <c r="C10" i="27"/>
  <c r="C9" i="27"/>
  <c r="G7" i="27"/>
  <c r="G6" i="27"/>
  <c r="K38" i="27"/>
  <c r="N31" i="27"/>
  <c r="M28" i="27"/>
  <c r="K18" i="27"/>
  <c r="N14" i="27"/>
  <c r="M11" i="27"/>
  <c r="L8" i="27"/>
  <c r="N6" i="27"/>
  <c r="F39" i="27"/>
  <c r="E36" i="27"/>
  <c r="D33" i="27"/>
  <c r="F31" i="27"/>
  <c r="F28" i="27"/>
  <c r="F26" i="27"/>
  <c r="E20" i="27"/>
  <c r="D18" i="27"/>
  <c r="D16" i="27"/>
  <c r="C14" i="27"/>
  <c r="G11" i="27"/>
  <c r="G9" i="27"/>
  <c r="F7" i="27"/>
  <c r="N34" i="27"/>
  <c r="J18" i="27"/>
  <c r="L11" i="27"/>
  <c r="C41" i="27"/>
  <c r="F34" i="27"/>
  <c r="E28" i="27"/>
  <c r="D20" i="27"/>
  <c r="G15" i="27"/>
  <c r="F11" i="27"/>
  <c r="E7" i="27"/>
  <c r="M31" i="27"/>
  <c r="K16" i="27"/>
  <c r="N9" i="27"/>
  <c r="E39" i="27"/>
  <c r="C33" i="27"/>
  <c r="E27" i="27"/>
  <c r="C19" i="27"/>
  <c r="G14" i="27"/>
  <c r="F10" i="27"/>
  <c r="D6" i="27"/>
  <c r="K41" i="27"/>
  <c r="L28" i="27"/>
  <c r="M14" i="27"/>
  <c r="K8" i="27"/>
  <c r="G37" i="27"/>
  <c r="E31" i="27"/>
  <c r="D26" i="27"/>
  <c r="C18" i="27"/>
  <c r="G13" i="27"/>
  <c r="E9" i="27"/>
  <c r="J38" i="27"/>
  <c r="K21" i="27"/>
  <c r="J13" i="27"/>
  <c r="M6" i="27"/>
  <c r="D36" i="27"/>
  <c r="G29" i="27"/>
  <c r="D21" i="27"/>
  <c r="C17" i="27"/>
  <c r="F12" i="27"/>
  <c r="E8" i="27"/>
  <c r="Y20" i="27"/>
  <c r="Y16" i="27"/>
  <c r="Y12" i="27"/>
  <c r="Y19" i="27"/>
  <c r="Y15" i="27"/>
  <c r="Y11" i="27"/>
  <c r="Y18" i="27"/>
  <c r="Y14" i="27"/>
  <c r="Y21" i="27"/>
  <c r="Y17" i="27"/>
  <c r="Y13" i="27"/>
  <c r="N41" i="26"/>
  <c r="K41" i="26"/>
  <c r="L40" i="26"/>
  <c r="N39" i="26"/>
  <c r="K39" i="26"/>
  <c r="L38" i="26"/>
  <c r="N37" i="26"/>
  <c r="K37" i="26"/>
  <c r="L36" i="26"/>
  <c r="N35" i="26"/>
  <c r="K35" i="26"/>
  <c r="L34" i="26"/>
  <c r="N33" i="26"/>
  <c r="K33" i="26"/>
  <c r="L32" i="26"/>
  <c r="N31" i="26"/>
  <c r="K31" i="26"/>
  <c r="L30" i="26"/>
  <c r="N29" i="26"/>
  <c r="K29" i="26"/>
  <c r="L28" i="26"/>
  <c r="N27" i="26"/>
  <c r="K27" i="26"/>
  <c r="L26" i="26"/>
  <c r="G41" i="26"/>
  <c r="C41" i="26"/>
  <c r="D40" i="26"/>
  <c r="E39" i="26"/>
  <c r="F38" i="26"/>
  <c r="G37" i="26"/>
  <c r="C37" i="26"/>
  <c r="D36" i="26"/>
  <c r="E35" i="26"/>
  <c r="F34" i="26"/>
  <c r="G33" i="26"/>
  <c r="C33" i="26"/>
  <c r="D32" i="26"/>
  <c r="E31" i="26"/>
  <c r="F30" i="26"/>
  <c r="G29" i="26"/>
  <c r="C29" i="26"/>
  <c r="D28" i="26"/>
  <c r="E27" i="26"/>
  <c r="F26" i="26"/>
  <c r="N21" i="26"/>
  <c r="K21" i="26"/>
  <c r="L20" i="26"/>
  <c r="N19" i="26"/>
  <c r="K19" i="26"/>
  <c r="L18" i="26"/>
  <c r="N17" i="26"/>
  <c r="K17" i="26"/>
  <c r="L16" i="26"/>
  <c r="N15" i="26"/>
  <c r="K15" i="26"/>
  <c r="L14" i="26"/>
  <c r="N13" i="26"/>
  <c r="K13" i="26"/>
  <c r="L12" i="26"/>
  <c r="N11" i="26"/>
  <c r="K11" i="26"/>
  <c r="L10" i="26"/>
  <c r="N9" i="26"/>
  <c r="K9" i="26"/>
  <c r="L8" i="26"/>
  <c r="N7" i="26"/>
  <c r="K7" i="26"/>
  <c r="L6" i="26"/>
  <c r="G21" i="26"/>
  <c r="C21" i="26"/>
  <c r="D20" i="26"/>
  <c r="E19" i="26"/>
  <c r="F18" i="26"/>
  <c r="G17" i="26"/>
  <c r="C17" i="26"/>
  <c r="D16" i="26"/>
  <c r="E15" i="26"/>
  <c r="F14" i="26"/>
  <c r="G13" i="26"/>
  <c r="C13" i="26"/>
  <c r="D12" i="26"/>
  <c r="E11" i="26"/>
  <c r="F10" i="26"/>
  <c r="G9" i="26"/>
  <c r="C9" i="26"/>
  <c r="M41" i="26"/>
  <c r="L41" i="26"/>
  <c r="N40" i="26"/>
  <c r="K40" i="26"/>
  <c r="L39" i="26"/>
  <c r="N38" i="26"/>
  <c r="K38" i="26"/>
  <c r="L37" i="26"/>
  <c r="N36" i="26"/>
  <c r="K36" i="26"/>
  <c r="L35" i="26"/>
  <c r="N34" i="26"/>
  <c r="K34" i="26"/>
  <c r="L33" i="26"/>
  <c r="N32" i="26"/>
  <c r="K32" i="26"/>
  <c r="L31" i="26"/>
  <c r="N30" i="26"/>
  <c r="K30" i="26"/>
  <c r="L29" i="26"/>
  <c r="N28" i="26"/>
  <c r="K28" i="26"/>
  <c r="L27" i="26"/>
  <c r="N26" i="26"/>
  <c r="K26" i="26"/>
  <c r="E41" i="26"/>
  <c r="F40" i="26"/>
  <c r="G39" i="26"/>
  <c r="C39" i="26"/>
  <c r="D38" i="26"/>
  <c r="E37" i="26"/>
  <c r="F36" i="26"/>
  <c r="G35" i="26"/>
  <c r="C35" i="26"/>
  <c r="D34" i="26"/>
  <c r="E33" i="26"/>
  <c r="F32" i="26"/>
  <c r="G31" i="26"/>
  <c r="C31" i="26"/>
  <c r="D30" i="26"/>
  <c r="E29" i="26"/>
  <c r="F28" i="26"/>
  <c r="G27" i="26"/>
  <c r="C27" i="26"/>
  <c r="D26" i="26"/>
  <c r="L21" i="26"/>
  <c r="N20" i="26"/>
  <c r="K20" i="26"/>
  <c r="L19" i="26"/>
  <c r="N18" i="26"/>
  <c r="K18" i="26"/>
  <c r="L17" i="26"/>
  <c r="N16" i="26"/>
  <c r="K16" i="26"/>
  <c r="L15" i="26"/>
  <c r="N14" i="26"/>
  <c r="K14" i="26"/>
  <c r="L13" i="26"/>
  <c r="N12" i="26"/>
  <c r="K12" i="26"/>
  <c r="L11" i="26"/>
  <c r="N10" i="26"/>
  <c r="K10" i="26"/>
  <c r="L9" i="26"/>
  <c r="N8" i="26"/>
  <c r="K8" i="26"/>
  <c r="L7" i="26"/>
  <c r="N6" i="26"/>
  <c r="K6" i="26"/>
  <c r="E21" i="26"/>
  <c r="F20" i="26"/>
  <c r="G19" i="26"/>
  <c r="C19" i="26"/>
  <c r="D18" i="26"/>
  <c r="E17" i="26"/>
  <c r="F16" i="26"/>
  <c r="G15" i="26"/>
  <c r="C15" i="26"/>
  <c r="D14" i="26"/>
  <c r="E13" i="26"/>
  <c r="F12" i="26"/>
  <c r="G11" i="26"/>
  <c r="C11" i="26"/>
  <c r="D10" i="26"/>
  <c r="E9" i="26"/>
  <c r="J41" i="26"/>
  <c r="M39" i="26"/>
  <c r="J37" i="26"/>
  <c r="M35" i="26"/>
  <c r="J33" i="26"/>
  <c r="M31" i="26"/>
  <c r="J29" i="26"/>
  <c r="M27" i="26"/>
  <c r="G40" i="26"/>
  <c r="D39" i="26"/>
  <c r="F37" i="26"/>
  <c r="C36" i="26"/>
  <c r="E34" i="26"/>
  <c r="G32" i="26"/>
  <c r="D31" i="26"/>
  <c r="F29" i="26"/>
  <c r="C28" i="26"/>
  <c r="E26" i="26"/>
  <c r="J21" i="26"/>
  <c r="M19" i="26"/>
  <c r="J17" i="26"/>
  <c r="M15" i="26"/>
  <c r="J13" i="26"/>
  <c r="M11" i="26"/>
  <c r="J9" i="26"/>
  <c r="M7" i="26"/>
  <c r="G20" i="26"/>
  <c r="D19" i="26"/>
  <c r="F17" i="26"/>
  <c r="C16" i="26"/>
  <c r="E14" i="26"/>
  <c r="G12" i="26"/>
  <c r="D11" i="26"/>
  <c r="F9" i="26"/>
  <c r="E8" i="26"/>
  <c r="F7" i="26"/>
  <c r="G6" i="26"/>
  <c r="C6" i="26"/>
  <c r="J18" i="26"/>
  <c r="J14" i="26"/>
  <c r="J10" i="26"/>
  <c r="G18" i="26"/>
  <c r="C14" i="26"/>
  <c r="D8" i="26"/>
  <c r="M40" i="26"/>
  <c r="J38" i="26"/>
  <c r="M36" i="26"/>
  <c r="J34" i="26"/>
  <c r="M32" i="26"/>
  <c r="J30" i="26"/>
  <c r="M28" i="26"/>
  <c r="J26" i="26"/>
  <c r="E40" i="26"/>
  <c r="G38" i="26"/>
  <c r="D37" i="26"/>
  <c r="F35" i="26"/>
  <c r="C34" i="26"/>
  <c r="E32" i="26"/>
  <c r="G30" i="26"/>
  <c r="D29" i="26"/>
  <c r="F27" i="26"/>
  <c r="C26" i="26"/>
  <c r="M20" i="26"/>
  <c r="J39" i="26"/>
  <c r="M37" i="26"/>
  <c r="J35" i="26"/>
  <c r="M33" i="26"/>
  <c r="J31" i="26"/>
  <c r="M29" i="26"/>
  <c r="J27" i="26"/>
  <c r="F41" i="26"/>
  <c r="C40" i="26"/>
  <c r="E38" i="26"/>
  <c r="G36" i="26"/>
  <c r="D35" i="26"/>
  <c r="F33" i="26"/>
  <c r="C32" i="26"/>
  <c r="E30" i="26"/>
  <c r="G28" i="26"/>
  <c r="D27" i="26"/>
  <c r="M21" i="26"/>
  <c r="J19" i="26"/>
  <c r="M17" i="26"/>
  <c r="J15" i="26"/>
  <c r="M13" i="26"/>
  <c r="J11" i="26"/>
  <c r="M9" i="26"/>
  <c r="J7" i="26"/>
  <c r="F21" i="26"/>
  <c r="C20" i="26"/>
  <c r="E18" i="26"/>
  <c r="G16" i="26"/>
  <c r="D15" i="26"/>
  <c r="F13" i="26"/>
  <c r="C12" i="26"/>
  <c r="E10" i="26"/>
  <c r="G8" i="26"/>
  <c r="C8" i="26"/>
  <c r="D7" i="26"/>
  <c r="E6" i="26"/>
  <c r="M16" i="26"/>
  <c r="M12" i="26"/>
  <c r="M8" i="26"/>
  <c r="E20" i="26"/>
  <c r="F15" i="26"/>
  <c r="G10" i="26"/>
  <c r="E7" i="26"/>
  <c r="F6" i="26"/>
  <c r="J40" i="26"/>
  <c r="M38" i="26"/>
  <c r="J36" i="26"/>
  <c r="M34" i="26"/>
  <c r="J32" i="26"/>
  <c r="M30" i="26"/>
  <c r="J28" i="26"/>
  <c r="M26" i="26"/>
  <c r="D41" i="26"/>
  <c r="F39" i="26"/>
  <c r="C38" i="26"/>
  <c r="E36" i="26"/>
  <c r="G34" i="26"/>
  <c r="D33" i="26"/>
  <c r="F31" i="26"/>
  <c r="C30" i="26"/>
  <c r="E28" i="26"/>
  <c r="G26" i="26"/>
  <c r="J20" i="26"/>
  <c r="M18" i="26"/>
  <c r="J16" i="26"/>
  <c r="M14" i="26"/>
  <c r="J12" i="26"/>
  <c r="M10" i="26"/>
  <c r="J8" i="26"/>
  <c r="M6" i="26"/>
  <c r="D21" i="26"/>
  <c r="F19" i="26"/>
  <c r="C18" i="26"/>
  <c r="E16" i="26"/>
  <c r="G14" i="26"/>
  <c r="D13" i="26"/>
  <c r="F11" i="26"/>
  <c r="C10" i="26"/>
  <c r="F8" i="26"/>
  <c r="G7" i="26"/>
  <c r="C7" i="26"/>
  <c r="D6" i="26"/>
  <c r="J6" i="26"/>
  <c r="D17" i="26"/>
  <c r="E12" i="26"/>
  <c r="D9" i="26"/>
  <c r="Y13" i="26"/>
  <c r="Y17" i="26"/>
  <c r="Y21" i="26"/>
  <c r="Y14" i="26"/>
  <c r="Y18" i="26"/>
  <c r="Y11" i="26"/>
  <c r="Y15" i="26"/>
  <c r="Y19" i="26"/>
  <c r="Y12" i="26"/>
  <c r="Y16" i="26"/>
  <c r="Y20" i="26"/>
  <c r="A4" i="25"/>
  <c r="L11" i="25" s="1"/>
  <c r="F10" i="25" l="1"/>
  <c r="F22" i="25"/>
  <c r="F38" i="25"/>
  <c r="F46" i="25"/>
  <c r="F62" i="25"/>
  <c r="F74" i="25"/>
  <c r="M24" i="25"/>
  <c r="M36" i="25"/>
  <c r="M48" i="25"/>
  <c r="M64" i="25"/>
  <c r="F7" i="25"/>
  <c r="F11" i="25"/>
  <c r="F15" i="25"/>
  <c r="F19" i="25"/>
  <c r="F23" i="25"/>
  <c r="F27" i="25"/>
  <c r="F31" i="25"/>
  <c r="F35" i="25"/>
  <c r="F39" i="25"/>
  <c r="F43" i="25"/>
  <c r="F47" i="25"/>
  <c r="F51" i="25"/>
  <c r="F55" i="25"/>
  <c r="F59" i="25"/>
  <c r="F63" i="25"/>
  <c r="F67" i="25"/>
  <c r="F71" i="25"/>
  <c r="F75" i="25"/>
  <c r="M17" i="25"/>
  <c r="M21" i="25"/>
  <c r="M25" i="25"/>
  <c r="M29" i="25"/>
  <c r="M33" i="25"/>
  <c r="M37" i="25"/>
  <c r="M41" i="25"/>
  <c r="M45" i="25"/>
  <c r="M49" i="25"/>
  <c r="M53" i="25"/>
  <c r="M57" i="25"/>
  <c r="M61" i="25"/>
  <c r="M65" i="25"/>
  <c r="M69" i="25"/>
  <c r="L9" i="25"/>
  <c r="F14" i="25"/>
  <c r="F26" i="25"/>
  <c r="F34" i="25"/>
  <c r="F42" i="25"/>
  <c r="F54" i="25"/>
  <c r="F66" i="25"/>
  <c r="M16" i="25"/>
  <c r="M28" i="25"/>
  <c r="M40" i="25"/>
  <c r="M52" i="25"/>
  <c r="M68" i="25"/>
  <c r="F8" i="25"/>
  <c r="F12" i="25"/>
  <c r="F16" i="25"/>
  <c r="F20" i="25"/>
  <c r="F24" i="25"/>
  <c r="F28" i="25"/>
  <c r="F32" i="25"/>
  <c r="F36" i="25"/>
  <c r="F40" i="25"/>
  <c r="F44" i="25"/>
  <c r="F48" i="25"/>
  <c r="F52" i="25"/>
  <c r="F56" i="25"/>
  <c r="F60" i="25"/>
  <c r="F64" i="25"/>
  <c r="F68" i="25"/>
  <c r="F72" i="25"/>
  <c r="M14" i="25"/>
  <c r="M18" i="25"/>
  <c r="M22" i="25"/>
  <c r="M26" i="25"/>
  <c r="M30" i="25"/>
  <c r="M34" i="25"/>
  <c r="M38" i="25"/>
  <c r="M42" i="25"/>
  <c r="M46" i="25"/>
  <c r="M50" i="25"/>
  <c r="M54" i="25"/>
  <c r="M58" i="25"/>
  <c r="M62" i="25"/>
  <c r="M66" i="25"/>
  <c r="M70" i="25"/>
  <c r="L10" i="25"/>
  <c r="F18" i="25"/>
  <c r="F30" i="25"/>
  <c r="F50" i="25"/>
  <c r="F58" i="25"/>
  <c r="F70" i="25"/>
  <c r="M20" i="25"/>
  <c r="M32" i="25"/>
  <c r="M44" i="25"/>
  <c r="M56" i="25"/>
  <c r="M60" i="25"/>
  <c r="L8" i="25"/>
  <c r="F9" i="25"/>
  <c r="F13" i="25"/>
  <c r="F17" i="25"/>
  <c r="F21" i="25"/>
  <c r="F25" i="25"/>
  <c r="F29" i="25"/>
  <c r="F33" i="25"/>
  <c r="F37" i="25"/>
  <c r="F41" i="25"/>
  <c r="F45" i="25"/>
  <c r="F49" i="25"/>
  <c r="F53" i="25"/>
  <c r="F57" i="25"/>
  <c r="F61" i="25"/>
  <c r="F65" i="25"/>
  <c r="F69" i="25"/>
  <c r="F73" i="25"/>
  <c r="M15" i="25"/>
  <c r="M19" i="25"/>
  <c r="M23" i="25"/>
  <c r="M27" i="25"/>
  <c r="M31" i="25"/>
  <c r="M35" i="25"/>
  <c r="M39" i="25"/>
  <c r="M43" i="25"/>
  <c r="M47" i="25"/>
  <c r="M51" i="25"/>
  <c r="M55" i="25"/>
  <c r="M59" i="25"/>
  <c r="M63" i="25"/>
  <c r="M67" i="25"/>
  <c r="L7" i="25"/>
  <c r="A24" i="23" l="1"/>
  <c r="I8" i="23" l="1"/>
  <c r="R44" i="23"/>
  <c r="S43" i="23"/>
  <c r="T42" i="23"/>
  <c r="P42" i="23"/>
  <c r="Q41" i="23"/>
  <c r="R40" i="23"/>
  <c r="S39" i="23"/>
  <c r="T38" i="23"/>
  <c r="P38" i="23"/>
  <c r="Q37" i="23"/>
  <c r="R36" i="23"/>
  <c r="S35" i="23"/>
  <c r="T34" i="23"/>
  <c r="P34" i="23"/>
  <c r="Q33" i="23"/>
  <c r="R32" i="23"/>
  <c r="S31" i="23"/>
  <c r="T30" i="23"/>
  <c r="P30" i="23"/>
  <c r="Q29" i="23"/>
  <c r="K44" i="23"/>
  <c r="L43" i="23"/>
  <c r="M42" i="23"/>
  <c r="I42" i="23"/>
  <c r="J41" i="23"/>
  <c r="K40" i="23"/>
  <c r="L39" i="23"/>
  <c r="M38" i="23"/>
  <c r="I38" i="23"/>
  <c r="J37" i="23"/>
  <c r="K36" i="23"/>
  <c r="L35" i="23"/>
  <c r="M34" i="23"/>
  <c r="I34" i="23"/>
  <c r="J33" i="23"/>
  <c r="K32" i="23"/>
  <c r="L31" i="23"/>
  <c r="M30" i="23"/>
  <c r="I30" i="23"/>
  <c r="J29" i="23"/>
  <c r="D44" i="23"/>
  <c r="E43" i="23"/>
  <c r="F42" i="23"/>
  <c r="B42" i="23"/>
  <c r="C41" i="23"/>
  <c r="D40" i="23"/>
  <c r="E39" i="23"/>
  <c r="F38" i="23"/>
  <c r="B38" i="23"/>
  <c r="C37" i="23"/>
  <c r="D36" i="23"/>
  <c r="E35" i="23"/>
  <c r="F34" i="23"/>
  <c r="B34" i="23"/>
  <c r="C33" i="23"/>
  <c r="D32" i="23"/>
  <c r="E31" i="23"/>
  <c r="F30" i="23"/>
  <c r="B30" i="23"/>
  <c r="C29" i="23"/>
  <c r="R23" i="23"/>
  <c r="T22" i="23"/>
  <c r="Q22" i="23"/>
  <c r="R21" i="23"/>
  <c r="T20" i="23"/>
  <c r="Q20" i="23"/>
  <c r="R19" i="23"/>
  <c r="T18" i="23"/>
  <c r="Q18" i="23"/>
  <c r="R17" i="23"/>
  <c r="T16" i="23"/>
  <c r="Q16" i="23"/>
  <c r="R15" i="23"/>
  <c r="T14" i="23"/>
  <c r="Q14" i="23"/>
  <c r="R13" i="23"/>
  <c r="T12" i="23"/>
  <c r="Q12" i="23"/>
  <c r="R11" i="23"/>
  <c r="T10" i="23"/>
  <c r="Q10" i="23"/>
  <c r="R9" i="23"/>
  <c r="T8" i="23"/>
  <c r="Q8" i="23"/>
  <c r="K23" i="23"/>
  <c r="Q44" i="23"/>
  <c r="R43" i="23"/>
  <c r="S42" i="23"/>
  <c r="T41" i="23"/>
  <c r="P41" i="23"/>
  <c r="Q40" i="23"/>
  <c r="R39" i="23"/>
  <c r="S38" i="23"/>
  <c r="T37" i="23"/>
  <c r="P37" i="23"/>
  <c r="Q36" i="23"/>
  <c r="R35" i="23"/>
  <c r="S34" i="23"/>
  <c r="T33" i="23"/>
  <c r="P33" i="23"/>
  <c r="Q32" i="23"/>
  <c r="R31" i="23"/>
  <c r="S30" i="23"/>
  <c r="T29" i="23"/>
  <c r="P29" i="23"/>
  <c r="J44" i="23"/>
  <c r="K43" i="23"/>
  <c r="L42" i="23"/>
  <c r="M41" i="23"/>
  <c r="I41" i="23"/>
  <c r="J40" i="23"/>
  <c r="K39" i="23"/>
  <c r="L38" i="23"/>
  <c r="M37" i="23"/>
  <c r="I37" i="23"/>
  <c r="J36" i="23"/>
  <c r="K35" i="23"/>
  <c r="L34" i="23"/>
  <c r="M33" i="23"/>
  <c r="I33" i="23"/>
  <c r="J32" i="23"/>
  <c r="K31" i="23"/>
  <c r="L30" i="23"/>
  <c r="M29" i="23"/>
  <c r="I29" i="23"/>
  <c r="C44" i="23"/>
  <c r="D43" i="23"/>
  <c r="E42" i="23"/>
  <c r="F41" i="23"/>
  <c r="B41" i="23"/>
  <c r="C40" i="23"/>
  <c r="D39" i="23"/>
  <c r="E38" i="23"/>
  <c r="F37" i="23"/>
  <c r="B37" i="23"/>
  <c r="C36" i="23"/>
  <c r="D35" i="23"/>
  <c r="E34" i="23"/>
  <c r="F33" i="23"/>
  <c r="B33" i="23"/>
  <c r="C32" i="23"/>
  <c r="D31" i="23"/>
  <c r="E30" i="23"/>
  <c r="F29" i="23"/>
  <c r="B29" i="23"/>
  <c r="S22" i="23"/>
  <c r="P22" i="23"/>
  <c r="S20" i="23"/>
  <c r="P20" i="23"/>
  <c r="S18" i="23"/>
  <c r="P18" i="23"/>
  <c r="S16" i="23"/>
  <c r="P16" i="23"/>
  <c r="S14" i="23"/>
  <c r="P14" i="23"/>
  <c r="S12" i="23"/>
  <c r="P12" i="23"/>
  <c r="S10" i="23"/>
  <c r="P10" i="23"/>
  <c r="S8" i="23"/>
  <c r="P8" i="23"/>
  <c r="T44" i="23"/>
  <c r="P44" i="23"/>
  <c r="Q43" i="23"/>
  <c r="R42" i="23"/>
  <c r="S41" i="23"/>
  <c r="T40" i="23"/>
  <c r="P40" i="23"/>
  <c r="Q39" i="23"/>
  <c r="R38" i="23"/>
  <c r="S37" i="23"/>
  <c r="T36" i="23"/>
  <c r="P36" i="23"/>
  <c r="Q35" i="23"/>
  <c r="R34" i="23"/>
  <c r="S33" i="23"/>
  <c r="T32" i="23"/>
  <c r="P32" i="23"/>
  <c r="Q31" i="23"/>
  <c r="R30" i="23"/>
  <c r="S29" i="23"/>
  <c r="M44" i="23"/>
  <c r="I44" i="23"/>
  <c r="J43" i="23"/>
  <c r="K42" i="23"/>
  <c r="L41" i="23"/>
  <c r="M40" i="23"/>
  <c r="I40" i="23"/>
  <c r="J39" i="23"/>
  <c r="K38" i="23"/>
  <c r="L37" i="23"/>
  <c r="M36" i="23"/>
  <c r="I36" i="23"/>
  <c r="J35" i="23"/>
  <c r="K34" i="23"/>
  <c r="L33" i="23"/>
  <c r="M32" i="23"/>
  <c r="I32" i="23"/>
  <c r="J31" i="23"/>
  <c r="K30" i="23"/>
  <c r="L29" i="23"/>
  <c r="F44" i="23"/>
  <c r="B44" i="23"/>
  <c r="C43" i="23"/>
  <c r="D42" i="23"/>
  <c r="E41" i="23"/>
  <c r="F40" i="23"/>
  <c r="B40" i="23"/>
  <c r="C39" i="23"/>
  <c r="D38" i="23"/>
  <c r="E37" i="23"/>
  <c r="F36" i="23"/>
  <c r="B36" i="23"/>
  <c r="C35" i="23"/>
  <c r="D34" i="23"/>
  <c r="E33" i="23"/>
  <c r="F32" i="23"/>
  <c r="B32" i="23"/>
  <c r="C31" i="23"/>
  <c r="D30" i="23"/>
  <c r="E29" i="23"/>
  <c r="T23" i="23"/>
  <c r="Q23" i="23"/>
  <c r="R22" i="23"/>
  <c r="T21" i="23"/>
  <c r="Q21" i="23"/>
  <c r="R20" i="23"/>
  <c r="T19" i="23"/>
  <c r="Q19" i="23"/>
  <c r="R18" i="23"/>
  <c r="T17" i="23"/>
  <c r="Q17" i="23"/>
  <c r="R16" i="23"/>
  <c r="T15" i="23"/>
  <c r="Q15" i="23"/>
  <c r="R14" i="23"/>
  <c r="T13" i="23"/>
  <c r="Q13" i="23"/>
  <c r="R12" i="23"/>
  <c r="T11" i="23"/>
  <c r="Q11" i="23"/>
  <c r="R10" i="23"/>
  <c r="T9" i="23"/>
  <c r="Q9" i="23"/>
  <c r="R8" i="23"/>
  <c r="M23" i="23"/>
  <c r="S44" i="23"/>
  <c r="T43" i="23"/>
  <c r="P43" i="23"/>
  <c r="Q42" i="23"/>
  <c r="R41" i="23"/>
  <c r="S40" i="23"/>
  <c r="T39" i="23"/>
  <c r="P39" i="23"/>
  <c r="Q38" i="23"/>
  <c r="R37" i="23"/>
  <c r="S36" i="23"/>
  <c r="T35" i="23"/>
  <c r="P35" i="23"/>
  <c r="Q34" i="23"/>
  <c r="R33" i="23"/>
  <c r="S32" i="23"/>
  <c r="T31" i="23"/>
  <c r="P31" i="23"/>
  <c r="Q30" i="23"/>
  <c r="R29" i="23"/>
  <c r="L44" i="23"/>
  <c r="M43" i="23"/>
  <c r="I43" i="23"/>
  <c r="J42" i="23"/>
  <c r="K41" i="23"/>
  <c r="L40" i="23"/>
  <c r="M39" i="23"/>
  <c r="I39" i="23"/>
  <c r="J38" i="23"/>
  <c r="K37" i="23"/>
  <c r="L36" i="23"/>
  <c r="M35" i="23"/>
  <c r="I35" i="23"/>
  <c r="J34" i="23"/>
  <c r="K33" i="23"/>
  <c r="L32" i="23"/>
  <c r="M31" i="23"/>
  <c r="I31" i="23"/>
  <c r="J30" i="23"/>
  <c r="K29" i="23"/>
  <c r="E44" i="23"/>
  <c r="F43" i="23"/>
  <c r="B43" i="23"/>
  <c r="C42" i="23"/>
  <c r="D41" i="23"/>
  <c r="E40" i="23"/>
  <c r="F39" i="23"/>
  <c r="B39" i="23"/>
  <c r="C38" i="23"/>
  <c r="D37" i="23"/>
  <c r="E36" i="23"/>
  <c r="F35" i="23"/>
  <c r="B35" i="23"/>
  <c r="C34" i="23"/>
  <c r="D33" i="23"/>
  <c r="E32" i="23"/>
  <c r="F31" i="23"/>
  <c r="B31" i="23"/>
  <c r="C30" i="23"/>
  <c r="D29" i="23"/>
  <c r="S23" i="23"/>
  <c r="P23" i="23"/>
  <c r="S21" i="23"/>
  <c r="P21" i="23"/>
  <c r="S19" i="23"/>
  <c r="P19" i="23"/>
  <c r="S17" i="23"/>
  <c r="P17" i="23"/>
  <c r="S15" i="23"/>
  <c r="P15" i="23"/>
  <c r="S13" i="23"/>
  <c r="P13" i="23"/>
  <c r="S11" i="23"/>
  <c r="P11" i="23"/>
  <c r="S9" i="23"/>
  <c r="P9" i="23"/>
  <c r="L23" i="23"/>
  <c r="M22" i="23"/>
  <c r="J22" i="23"/>
  <c r="K21" i="23"/>
  <c r="M20" i="23"/>
  <c r="J20" i="23"/>
  <c r="K19" i="23"/>
  <c r="M18" i="23"/>
  <c r="J18" i="23"/>
  <c r="K17" i="23"/>
  <c r="M16" i="23"/>
  <c r="J16" i="23"/>
  <c r="K15" i="23"/>
  <c r="M14" i="23"/>
  <c r="J14" i="23"/>
  <c r="K13" i="23"/>
  <c r="M12" i="23"/>
  <c r="J12" i="23"/>
  <c r="K11" i="23"/>
  <c r="M10" i="23"/>
  <c r="J10" i="23"/>
  <c r="K9" i="23"/>
  <c r="M8" i="23"/>
  <c r="J8" i="23"/>
  <c r="C23" i="23"/>
  <c r="D22" i="23"/>
  <c r="E21" i="23"/>
  <c r="F20" i="23"/>
  <c r="B20" i="23"/>
  <c r="C19" i="23"/>
  <c r="D18" i="23"/>
  <c r="E17" i="23"/>
  <c r="F16" i="23"/>
  <c r="B16" i="23"/>
  <c r="C15" i="23"/>
  <c r="D14" i="23"/>
  <c r="E13" i="23"/>
  <c r="F12" i="23"/>
  <c r="B12" i="23"/>
  <c r="C11" i="23"/>
  <c r="D10" i="23"/>
  <c r="E9" i="23"/>
  <c r="F8" i="23"/>
  <c r="B8" i="23"/>
  <c r="L22" i="23"/>
  <c r="I22" i="23"/>
  <c r="L20" i="23"/>
  <c r="I20" i="23"/>
  <c r="L18" i="23"/>
  <c r="I18" i="23"/>
  <c r="L16" i="23"/>
  <c r="I16" i="23"/>
  <c r="L14" i="23"/>
  <c r="I14" i="23"/>
  <c r="L12" i="23"/>
  <c r="I12" i="23"/>
  <c r="L10" i="23"/>
  <c r="I10" i="23"/>
  <c r="L8" i="23"/>
  <c r="F23" i="23"/>
  <c r="B23" i="23"/>
  <c r="C22" i="23"/>
  <c r="D21" i="23"/>
  <c r="E20" i="23"/>
  <c r="F19" i="23"/>
  <c r="B19" i="23"/>
  <c r="C18" i="23"/>
  <c r="D17" i="23"/>
  <c r="E16" i="23"/>
  <c r="F15" i="23"/>
  <c r="B15" i="23"/>
  <c r="C14" i="23"/>
  <c r="D13" i="23"/>
  <c r="E12" i="23"/>
  <c r="F11" i="23"/>
  <c r="B11" i="23"/>
  <c r="C10" i="23"/>
  <c r="D9" i="23"/>
  <c r="E8" i="23"/>
  <c r="J23" i="23"/>
  <c r="K22" i="23"/>
  <c r="M21" i="23"/>
  <c r="J21" i="23"/>
  <c r="K20" i="23"/>
  <c r="M19" i="23"/>
  <c r="J19" i="23"/>
  <c r="K18" i="23"/>
  <c r="M17" i="23"/>
  <c r="J17" i="23"/>
  <c r="K16" i="23"/>
  <c r="M15" i="23"/>
  <c r="J15" i="23"/>
  <c r="K14" i="23"/>
  <c r="M13" i="23"/>
  <c r="J13" i="23"/>
  <c r="K12" i="23"/>
  <c r="M11" i="23"/>
  <c r="J11" i="23"/>
  <c r="K10" i="23"/>
  <c r="M9" i="23"/>
  <c r="J9" i="23"/>
  <c r="K8" i="23"/>
  <c r="E23" i="23"/>
  <c r="F22" i="23"/>
  <c r="B22" i="23"/>
  <c r="C21" i="23"/>
  <c r="D20" i="23"/>
  <c r="E19" i="23"/>
  <c r="F18" i="23"/>
  <c r="B18" i="23"/>
  <c r="C17" i="23"/>
  <c r="D16" i="23"/>
  <c r="E15" i="23"/>
  <c r="F14" i="23"/>
  <c r="B14" i="23"/>
  <c r="C13" i="23"/>
  <c r="D12" i="23"/>
  <c r="E11" i="23"/>
  <c r="F10" i="23"/>
  <c r="B10" i="23"/>
  <c r="C9" i="23"/>
  <c r="D8" i="23"/>
  <c r="I23" i="23"/>
  <c r="L21" i="23"/>
  <c r="I21" i="23"/>
  <c r="L19" i="23"/>
  <c r="I19" i="23"/>
  <c r="L17" i="23"/>
  <c r="I17" i="23"/>
  <c r="L15" i="23"/>
  <c r="I15" i="23"/>
  <c r="L13" i="23"/>
  <c r="I13" i="23"/>
  <c r="L11" i="23"/>
  <c r="I11" i="23"/>
  <c r="L9" i="23"/>
  <c r="I9" i="23"/>
  <c r="D23" i="23"/>
  <c r="E22" i="23"/>
  <c r="F21" i="23"/>
  <c r="B21" i="23"/>
  <c r="C20" i="23"/>
  <c r="D19" i="23"/>
  <c r="E18" i="23"/>
  <c r="F17" i="23"/>
  <c r="B17" i="23"/>
  <c r="C16" i="23"/>
  <c r="D15" i="23"/>
  <c r="E14" i="23"/>
  <c r="F13" i="23"/>
  <c r="B13" i="23"/>
  <c r="C12" i="23"/>
  <c r="D11" i="23"/>
  <c r="E10" i="23"/>
  <c r="F9" i="23"/>
  <c r="B9" i="23"/>
  <c r="C8" i="23"/>
  <c r="A23" i="2"/>
  <c r="A7" i="18"/>
  <c r="C25" i="18" l="1"/>
  <c r="C24" i="18"/>
  <c r="C23" i="18"/>
  <c r="C22" i="18"/>
  <c r="C21" i="18"/>
  <c r="C15" i="18"/>
  <c r="C14" i="18"/>
  <c r="C13" i="18"/>
  <c r="C12" i="18"/>
  <c r="C11" i="18"/>
  <c r="E25" i="18"/>
  <c r="E23" i="18"/>
  <c r="E21" i="18"/>
  <c r="E14" i="18"/>
  <c r="E12" i="18"/>
  <c r="D24" i="18"/>
  <c r="D22" i="18"/>
  <c r="D15" i="18"/>
  <c r="D14" i="18"/>
  <c r="D12" i="18"/>
  <c r="B25" i="18"/>
  <c r="B24" i="18"/>
  <c r="B23" i="18"/>
  <c r="B22" i="18"/>
  <c r="B21" i="18"/>
  <c r="B15" i="18"/>
  <c r="B14" i="18"/>
  <c r="B13" i="18"/>
  <c r="B12" i="18"/>
  <c r="B11" i="18"/>
  <c r="E24" i="18"/>
  <c r="E22" i="18"/>
  <c r="E15" i="18"/>
  <c r="E13" i="18"/>
  <c r="E11" i="18"/>
  <c r="D25" i="18"/>
  <c r="D23" i="18"/>
  <c r="D21" i="18"/>
  <c r="D13" i="18"/>
  <c r="D11" i="18"/>
  <c r="B39" i="2"/>
  <c r="B35" i="2"/>
  <c r="B31" i="2"/>
  <c r="S41" i="2"/>
  <c r="S37" i="2"/>
  <c r="S33" i="2"/>
  <c r="S29" i="2"/>
  <c r="K39" i="2"/>
  <c r="K35" i="2"/>
  <c r="K31" i="2"/>
  <c r="Q41" i="2"/>
  <c r="M41" i="2"/>
  <c r="O40" i="2"/>
  <c r="Q39" i="2"/>
  <c r="M39" i="2"/>
  <c r="O38" i="2"/>
  <c r="Q37" i="2"/>
  <c r="M37" i="2"/>
  <c r="O36" i="2"/>
  <c r="Q35" i="2"/>
  <c r="M35" i="2"/>
  <c r="O34" i="2"/>
  <c r="Q33" i="2"/>
  <c r="M33" i="2"/>
  <c r="O32" i="2"/>
  <c r="Q31" i="2"/>
  <c r="M31" i="2"/>
  <c r="O30" i="2"/>
  <c r="Q29" i="2"/>
  <c r="M29" i="2"/>
  <c r="O28" i="2"/>
  <c r="Q27" i="2"/>
  <c r="M27" i="2"/>
  <c r="O26" i="2"/>
  <c r="H41" i="2"/>
  <c r="D41" i="2"/>
  <c r="F40" i="2"/>
  <c r="H39" i="2"/>
  <c r="D39" i="2"/>
  <c r="F38" i="2"/>
  <c r="H37" i="2"/>
  <c r="D37" i="2"/>
  <c r="F36" i="2"/>
  <c r="H35" i="2"/>
  <c r="D35" i="2"/>
  <c r="F34" i="2"/>
  <c r="H33" i="2"/>
  <c r="D33" i="2"/>
  <c r="F32" i="2"/>
  <c r="H31" i="2"/>
  <c r="D31" i="2"/>
  <c r="F30" i="2"/>
  <c r="H29" i="2"/>
  <c r="D29" i="2"/>
  <c r="F28" i="2"/>
  <c r="H27" i="2"/>
  <c r="D27" i="2"/>
  <c r="F26" i="2"/>
  <c r="K21" i="2"/>
  <c r="K17" i="2"/>
  <c r="K13" i="2"/>
  <c r="K9" i="2"/>
  <c r="O21" i="2"/>
  <c r="Q20" i="2"/>
  <c r="M20" i="2"/>
  <c r="O19" i="2"/>
  <c r="B38" i="2"/>
  <c r="B34" i="2"/>
  <c r="B30" i="2"/>
  <c r="S40" i="2"/>
  <c r="S36" i="2"/>
  <c r="S32" i="2"/>
  <c r="S28" i="2"/>
  <c r="K38" i="2"/>
  <c r="K34" i="2"/>
  <c r="K30" i="2"/>
  <c r="P41" i="2"/>
  <c r="L41" i="2"/>
  <c r="N40" i="2"/>
  <c r="P39" i="2"/>
  <c r="L39" i="2"/>
  <c r="N38" i="2"/>
  <c r="P37" i="2"/>
  <c r="L37" i="2"/>
  <c r="N36" i="2"/>
  <c r="P35" i="2"/>
  <c r="L35" i="2"/>
  <c r="N34" i="2"/>
  <c r="P33" i="2"/>
  <c r="L33" i="2"/>
  <c r="N32" i="2"/>
  <c r="P31" i="2"/>
  <c r="L31" i="2"/>
  <c r="N30" i="2"/>
  <c r="P29" i="2"/>
  <c r="L29" i="2"/>
  <c r="N28" i="2"/>
  <c r="P27" i="2"/>
  <c r="L27" i="2"/>
  <c r="N26" i="2"/>
  <c r="G41" i="2"/>
  <c r="C41" i="2"/>
  <c r="E40" i="2"/>
  <c r="G39" i="2"/>
  <c r="C39" i="2"/>
  <c r="E38" i="2"/>
  <c r="G37" i="2"/>
  <c r="C37" i="2"/>
  <c r="E36" i="2"/>
  <c r="G35" i="2"/>
  <c r="C35" i="2"/>
  <c r="E34" i="2"/>
  <c r="G33" i="2"/>
  <c r="C33" i="2"/>
  <c r="E32" i="2"/>
  <c r="G31" i="2"/>
  <c r="C31" i="2"/>
  <c r="E30" i="2"/>
  <c r="G29" i="2"/>
  <c r="C29" i="2"/>
  <c r="E28" i="2"/>
  <c r="G27" i="2"/>
  <c r="C27" i="2"/>
  <c r="E26" i="2"/>
  <c r="K20" i="2"/>
  <c r="K16" i="2"/>
  <c r="K12" i="2"/>
  <c r="K8" i="2"/>
  <c r="N21" i="2"/>
  <c r="P20" i="2"/>
  <c r="L20" i="2"/>
  <c r="N19" i="2"/>
  <c r="P18" i="2"/>
  <c r="L18" i="2"/>
  <c r="N17" i="2"/>
  <c r="P16" i="2"/>
  <c r="L16" i="2"/>
  <c r="N15" i="2"/>
  <c r="P14" i="2"/>
  <c r="B41" i="2"/>
  <c r="B37" i="2"/>
  <c r="B33" i="2"/>
  <c r="B29" i="2"/>
  <c r="S39" i="2"/>
  <c r="S35" i="2"/>
  <c r="S31" i="2"/>
  <c r="K41" i="2"/>
  <c r="K37" i="2"/>
  <c r="K33" i="2"/>
  <c r="K29" i="2"/>
  <c r="O41" i="2"/>
  <c r="Q40" i="2"/>
  <c r="M40" i="2"/>
  <c r="O39" i="2"/>
  <c r="Q38" i="2"/>
  <c r="M38" i="2"/>
  <c r="O37" i="2"/>
  <c r="Q36" i="2"/>
  <c r="M36" i="2"/>
  <c r="O35" i="2"/>
  <c r="Q34" i="2"/>
  <c r="M34" i="2"/>
  <c r="O33" i="2"/>
  <c r="Q32" i="2"/>
  <c r="M32" i="2"/>
  <c r="O31" i="2"/>
  <c r="Q30" i="2"/>
  <c r="M30" i="2"/>
  <c r="O29" i="2"/>
  <c r="Q28" i="2"/>
  <c r="M28" i="2"/>
  <c r="O27" i="2"/>
  <c r="Q26" i="2"/>
  <c r="M26" i="2"/>
  <c r="F41" i="2"/>
  <c r="H40" i="2"/>
  <c r="D40" i="2"/>
  <c r="F39" i="2"/>
  <c r="H38" i="2"/>
  <c r="D38" i="2"/>
  <c r="F37" i="2"/>
  <c r="H36" i="2"/>
  <c r="D36" i="2"/>
  <c r="F35" i="2"/>
  <c r="H34" i="2"/>
  <c r="D34" i="2"/>
  <c r="F33" i="2"/>
  <c r="H32" i="2"/>
  <c r="D32" i="2"/>
  <c r="F31" i="2"/>
  <c r="H30" i="2"/>
  <c r="D30" i="2"/>
  <c r="F29" i="2"/>
  <c r="H28" i="2"/>
  <c r="D28" i="2"/>
  <c r="F27" i="2"/>
  <c r="H26" i="2"/>
  <c r="D26" i="2"/>
  <c r="K19" i="2"/>
  <c r="K15" i="2"/>
  <c r="K11" i="2"/>
  <c r="Q21" i="2"/>
  <c r="M21" i="2"/>
  <c r="O20" i="2"/>
  <c r="Q19" i="2"/>
  <c r="M19" i="2"/>
  <c r="O18" i="2"/>
  <c r="Q17" i="2"/>
  <c r="M17" i="2"/>
  <c r="O16" i="2"/>
  <c r="Q15" i="2"/>
  <c r="M15" i="2"/>
  <c r="B36" i="2"/>
  <c r="S34" i="2"/>
  <c r="K32" i="2"/>
  <c r="L40" i="2"/>
  <c r="N37" i="2"/>
  <c r="P34" i="2"/>
  <c r="L32" i="2"/>
  <c r="N29" i="2"/>
  <c r="P26" i="2"/>
  <c r="C40" i="2"/>
  <c r="E37" i="2"/>
  <c r="G34" i="2"/>
  <c r="C32" i="2"/>
  <c r="E29" i="2"/>
  <c r="G26" i="2"/>
  <c r="K10" i="2"/>
  <c r="P19" i="2"/>
  <c r="M18" i="2"/>
  <c r="Q16" i="2"/>
  <c r="O15" i="2"/>
  <c r="N14" i="2"/>
  <c r="P13" i="2"/>
  <c r="L13" i="2"/>
  <c r="N12" i="2"/>
  <c r="P11" i="2"/>
  <c r="L11" i="2"/>
  <c r="N10" i="2"/>
  <c r="P9" i="2"/>
  <c r="L9" i="2"/>
  <c r="N8" i="2"/>
  <c r="P7" i="2"/>
  <c r="L7" i="2"/>
  <c r="N6" i="2"/>
  <c r="G21" i="2"/>
  <c r="C21" i="2"/>
  <c r="E20" i="2"/>
  <c r="G19" i="2"/>
  <c r="C19" i="2"/>
  <c r="E18" i="2"/>
  <c r="G17" i="2"/>
  <c r="C17" i="2"/>
  <c r="E16" i="2"/>
  <c r="G15" i="2"/>
  <c r="C15" i="2"/>
  <c r="E14" i="2"/>
  <c r="G13" i="2"/>
  <c r="C13" i="2"/>
  <c r="E12" i="2"/>
  <c r="G11" i="2"/>
  <c r="C11" i="2"/>
  <c r="E10" i="2"/>
  <c r="G9" i="2"/>
  <c r="C9" i="2"/>
  <c r="E8" i="2"/>
  <c r="G7" i="2"/>
  <c r="C7" i="2"/>
  <c r="E6" i="2"/>
  <c r="B40" i="2"/>
  <c r="P40" i="2"/>
  <c r="P32" i="2"/>
  <c r="G40" i="2"/>
  <c r="G32" i="2"/>
  <c r="K14" i="2"/>
  <c r="L17" i="2"/>
  <c r="Q13" i="2"/>
  <c r="M11" i="2"/>
  <c r="M9" i="2"/>
  <c r="M7" i="2"/>
  <c r="F20" i="2"/>
  <c r="D19" i="2"/>
  <c r="F16" i="2"/>
  <c r="H13" i="2"/>
  <c r="H11" i="2"/>
  <c r="F10" i="2"/>
  <c r="F8" i="2"/>
  <c r="F6" i="2"/>
  <c r="B32" i="2"/>
  <c r="S30" i="2"/>
  <c r="K28" i="2"/>
  <c r="N39" i="2"/>
  <c r="P36" i="2"/>
  <c r="L34" i="2"/>
  <c r="N31" i="2"/>
  <c r="P28" i="2"/>
  <c r="L26" i="2"/>
  <c r="E39" i="2"/>
  <c r="G36" i="2"/>
  <c r="C34" i="2"/>
  <c r="E31" i="2"/>
  <c r="G28" i="2"/>
  <c r="C26" i="2"/>
  <c r="P21" i="2"/>
  <c r="L19" i="2"/>
  <c r="P17" i="2"/>
  <c r="N16" i="2"/>
  <c r="L15" i="2"/>
  <c r="M14" i="2"/>
  <c r="O13" i="2"/>
  <c r="Q12" i="2"/>
  <c r="M12" i="2"/>
  <c r="O11" i="2"/>
  <c r="Q10" i="2"/>
  <c r="M10" i="2"/>
  <c r="O9" i="2"/>
  <c r="Q8" i="2"/>
  <c r="M8" i="2"/>
  <c r="O7" i="2"/>
  <c r="Q6" i="2"/>
  <c r="M6" i="2"/>
  <c r="F21" i="2"/>
  <c r="H20" i="2"/>
  <c r="D20" i="2"/>
  <c r="F19" i="2"/>
  <c r="H18" i="2"/>
  <c r="D18" i="2"/>
  <c r="F17" i="2"/>
  <c r="H16" i="2"/>
  <c r="D16" i="2"/>
  <c r="F15" i="2"/>
  <c r="H14" i="2"/>
  <c r="D14" i="2"/>
  <c r="F13" i="2"/>
  <c r="H12" i="2"/>
  <c r="D12" i="2"/>
  <c r="F11" i="2"/>
  <c r="H10" i="2"/>
  <c r="D10" i="2"/>
  <c r="F9" i="2"/>
  <c r="H8" i="2"/>
  <c r="D8" i="2"/>
  <c r="F7" i="2"/>
  <c r="H6" i="2"/>
  <c r="D6" i="2"/>
  <c r="S38" i="2"/>
  <c r="L38" i="2"/>
  <c r="L30" i="2"/>
  <c r="C38" i="2"/>
  <c r="C30" i="2"/>
  <c r="N20" i="2"/>
  <c r="P15" i="2"/>
  <c r="O12" i="2"/>
  <c r="O10" i="2"/>
  <c r="O8" i="2"/>
  <c r="O6" i="2"/>
  <c r="D21" i="2"/>
  <c r="F18" i="2"/>
  <c r="D17" i="2"/>
  <c r="D15" i="2"/>
  <c r="F12" i="2"/>
  <c r="H9" i="2"/>
  <c r="H7" i="2"/>
  <c r="B28" i="2"/>
  <c r="K40" i="2"/>
  <c r="N41" i="2"/>
  <c r="P38" i="2"/>
  <c r="L36" i="2"/>
  <c r="N33" i="2"/>
  <c r="P30" i="2"/>
  <c r="L28" i="2"/>
  <c r="E41" i="2"/>
  <c r="G38" i="2"/>
  <c r="C36" i="2"/>
  <c r="E33" i="2"/>
  <c r="G30" i="2"/>
  <c r="C28" i="2"/>
  <c r="K18" i="2"/>
  <c r="L21" i="2"/>
  <c r="Q18" i="2"/>
  <c r="O17" i="2"/>
  <c r="M16" i="2"/>
  <c r="Q14" i="2"/>
  <c r="L14" i="2"/>
  <c r="N13" i="2"/>
  <c r="P12" i="2"/>
  <c r="L12" i="2"/>
  <c r="N11" i="2"/>
  <c r="P10" i="2"/>
  <c r="L10" i="2"/>
  <c r="N9" i="2"/>
  <c r="P8" i="2"/>
  <c r="L8" i="2"/>
  <c r="N7" i="2"/>
  <c r="P6" i="2"/>
  <c r="L6" i="2"/>
  <c r="E21" i="2"/>
  <c r="G20" i="2"/>
  <c r="C20" i="2"/>
  <c r="E19" i="2"/>
  <c r="G18" i="2"/>
  <c r="C18" i="2"/>
  <c r="E17" i="2"/>
  <c r="G16" i="2"/>
  <c r="C16" i="2"/>
  <c r="E15" i="2"/>
  <c r="G14" i="2"/>
  <c r="C14" i="2"/>
  <c r="E13" i="2"/>
  <c r="G12" i="2"/>
  <c r="C12" i="2"/>
  <c r="E11" i="2"/>
  <c r="G10" i="2"/>
  <c r="C10" i="2"/>
  <c r="E9" i="2"/>
  <c r="G8" i="2"/>
  <c r="C8" i="2"/>
  <c r="E7" i="2"/>
  <c r="G6" i="2"/>
  <c r="C6" i="2"/>
  <c r="K36" i="2"/>
  <c r="N35" i="2"/>
  <c r="N27" i="2"/>
  <c r="E35" i="2"/>
  <c r="E27" i="2"/>
  <c r="N18" i="2"/>
  <c r="O14" i="2"/>
  <c r="M13" i="2"/>
  <c r="Q11" i="2"/>
  <c r="Q9" i="2"/>
  <c r="Q7" i="2"/>
  <c r="H21" i="2"/>
  <c r="H19" i="2"/>
  <c r="H17" i="2"/>
  <c r="H15" i="2"/>
  <c r="F14" i="2"/>
  <c r="D13" i="2"/>
  <c r="D11" i="2"/>
  <c r="D9" i="2"/>
  <c r="D7" i="2"/>
  <c r="A22" i="22"/>
  <c r="V16" i="22" s="1"/>
  <c r="A22" i="21"/>
  <c r="A23" i="20"/>
  <c r="A22" i="20"/>
  <c r="A22" i="19"/>
  <c r="A23" i="19"/>
  <c r="V18" i="22" l="1"/>
  <c r="N40" i="22"/>
  <c r="K40" i="22"/>
  <c r="M39" i="22"/>
  <c r="J39" i="22"/>
  <c r="L38" i="22"/>
  <c r="O37" i="22"/>
  <c r="N36" i="22"/>
  <c r="K36" i="22"/>
  <c r="M35" i="22"/>
  <c r="J35" i="22"/>
  <c r="L34" i="22"/>
  <c r="O33" i="22"/>
  <c r="N32" i="22"/>
  <c r="K32" i="22"/>
  <c r="M31" i="22"/>
  <c r="J31" i="22"/>
  <c r="L30" i="22"/>
  <c r="O29" i="22"/>
  <c r="N28" i="22"/>
  <c r="K28" i="22"/>
  <c r="M27" i="22"/>
  <c r="J27" i="22"/>
  <c r="L26" i="22"/>
  <c r="O25" i="22"/>
  <c r="F40" i="22"/>
  <c r="B40" i="22"/>
  <c r="D39" i="22"/>
  <c r="F38" i="22"/>
  <c r="B38" i="22"/>
  <c r="D37" i="22"/>
  <c r="F36" i="22"/>
  <c r="B36" i="22"/>
  <c r="D35" i="22"/>
  <c r="F34" i="22"/>
  <c r="B34" i="22"/>
  <c r="D33" i="22"/>
  <c r="F32" i="22"/>
  <c r="B32" i="22"/>
  <c r="D31" i="22"/>
  <c r="F30" i="22"/>
  <c r="B30" i="22"/>
  <c r="D29" i="22"/>
  <c r="F28" i="22"/>
  <c r="B28" i="22"/>
  <c r="D27" i="22"/>
  <c r="F26" i="22"/>
  <c r="B26" i="22"/>
  <c r="D25" i="22"/>
  <c r="N21" i="22"/>
  <c r="K21" i="22"/>
  <c r="M20" i="22"/>
  <c r="J20" i="22"/>
  <c r="L19" i="22"/>
  <c r="O18" i="22"/>
  <c r="N17" i="22"/>
  <c r="K17" i="22"/>
  <c r="M16" i="22"/>
  <c r="J16" i="22"/>
  <c r="L15" i="22"/>
  <c r="O14" i="22"/>
  <c r="N13" i="22"/>
  <c r="K13" i="22"/>
  <c r="M12" i="22"/>
  <c r="J12" i="22"/>
  <c r="L11" i="22"/>
  <c r="O10" i="22"/>
  <c r="N9" i="22"/>
  <c r="K9" i="22"/>
  <c r="M8" i="22"/>
  <c r="J8" i="22"/>
  <c r="L7" i="22"/>
  <c r="O6" i="22"/>
  <c r="F21" i="22"/>
  <c r="B21" i="22"/>
  <c r="D20" i="22"/>
  <c r="F19" i="22"/>
  <c r="B19" i="22"/>
  <c r="M40" i="22"/>
  <c r="J40" i="22"/>
  <c r="L39" i="22"/>
  <c r="O38" i="22"/>
  <c r="N37" i="22"/>
  <c r="K37" i="22"/>
  <c r="M36" i="22"/>
  <c r="J36" i="22"/>
  <c r="L35" i="22"/>
  <c r="O34" i="22"/>
  <c r="N33" i="22"/>
  <c r="K33" i="22"/>
  <c r="M32" i="22"/>
  <c r="J32" i="22"/>
  <c r="L31" i="22"/>
  <c r="O30" i="22"/>
  <c r="N29" i="22"/>
  <c r="K29" i="22"/>
  <c r="M28" i="22"/>
  <c r="J28" i="22"/>
  <c r="L27" i="22"/>
  <c r="O26" i="22"/>
  <c r="N25" i="22"/>
  <c r="K25" i="22"/>
  <c r="E40" i="22"/>
  <c r="G39" i="22"/>
  <c r="C39" i="22"/>
  <c r="E38" i="22"/>
  <c r="G37" i="22"/>
  <c r="C37" i="22"/>
  <c r="E36" i="22"/>
  <c r="G35" i="22"/>
  <c r="C35" i="22"/>
  <c r="E34" i="22"/>
  <c r="G33" i="22"/>
  <c r="C33" i="22"/>
  <c r="E32" i="22"/>
  <c r="G31" i="22"/>
  <c r="C31" i="22"/>
  <c r="E30" i="22"/>
  <c r="G29" i="22"/>
  <c r="C29" i="22"/>
  <c r="E28" i="22"/>
  <c r="G27" i="22"/>
  <c r="C27" i="22"/>
  <c r="E26" i="22"/>
  <c r="G25" i="22"/>
  <c r="C25" i="22"/>
  <c r="M21" i="22"/>
  <c r="J21" i="22"/>
  <c r="L20" i="22"/>
  <c r="O19" i="22"/>
  <c r="N18" i="22"/>
  <c r="K18" i="22"/>
  <c r="M17" i="22"/>
  <c r="J17" i="22"/>
  <c r="L16" i="22"/>
  <c r="O15" i="22"/>
  <c r="N14" i="22"/>
  <c r="K14" i="22"/>
  <c r="M13" i="22"/>
  <c r="J13" i="22"/>
  <c r="L12" i="22"/>
  <c r="O11" i="22"/>
  <c r="N10" i="22"/>
  <c r="K10" i="22"/>
  <c r="M9" i="22"/>
  <c r="J9" i="22"/>
  <c r="L8" i="22"/>
  <c r="O7" i="22"/>
  <c r="N6" i="22"/>
  <c r="K6" i="22"/>
  <c r="E21" i="22"/>
  <c r="G20" i="22"/>
  <c r="C20" i="22"/>
  <c r="E19" i="22"/>
  <c r="G18" i="22"/>
  <c r="L40" i="22"/>
  <c r="O39" i="22"/>
  <c r="N38" i="22"/>
  <c r="K38" i="22"/>
  <c r="M37" i="22"/>
  <c r="J37" i="22"/>
  <c r="L36" i="22"/>
  <c r="O35" i="22"/>
  <c r="N34" i="22"/>
  <c r="K34" i="22"/>
  <c r="M33" i="22"/>
  <c r="J33" i="22"/>
  <c r="L32" i="22"/>
  <c r="O31" i="22"/>
  <c r="N30" i="22"/>
  <c r="K30" i="22"/>
  <c r="M29" i="22"/>
  <c r="J29" i="22"/>
  <c r="L28" i="22"/>
  <c r="O27" i="22"/>
  <c r="N26" i="22"/>
  <c r="K26" i="22"/>
  <c r="M25" i="22"/>
  <c r="J25" i="22"/>
  <c r="D40" i="22"/>
  <c r="F39" i="22"/>
  <c r="B39" i="22"/>
  <c r="D38" i="22"/>
  <c r="F37" i="22"/>
  <c r="B37" i="22"/>
  <c r="D36" i="22"/>
  <c r="F35" i="22"/>
  <c r="B35" i="22"/>
  <c r="D34" i="22"/>
  <c r="F33" i="22"/>
  <c r="B33" i="22"/>
  <c r="D32" i="22"/>
  <c r="F31" i="22"/>
  <c r="B31" i="22"/>
  <c r="D30" i="22"/>
  <c r="F29" i="22"/>
  <c r="B29" i="22"/>
  <c r="D28" i="22"/>
  <c r="F27" i="22"/>
  <c r="B27" i="22"/>
  <c r="D26" i="22"/>
  <c r="F25" i="22"/>
  <c r="B25" i="22"/>
  <c r="L21" i="22"/>
  <c r="O20" i="22"/>
  <c r="N19" i="22"/>
  <c r="K19" i="22"/>
  <c r="M18" i="22"/>
  <c r="J18" i="22"/>
  <c r="L17" i="22"/>
  <c r="O16" i="22"/>
  <c r="N15" i="22"/>
  <c r="K15" i="22"/>
  <c r="M14" i="22"/>
  <c r="J14" i="22"/>
  <c r="L13" i="22"/>
  <c r="O12" i="22"/>
  <c r="N11" i="22"/>
  <c r="K11" i="22"/>
  <c r="M10" i="22"/>
  <c r="J10" i="22"/>
  <c r="L9" i="22"/>
  <c r="O8" i="22"/>
  <c r="N7" i="22"/>
  <c r="K7" i="22"/>
  <c r="M6" i="22"/>
  <c r="J6" i="22"/>
  <c r="D21" i="22"/>
  <c r="F20" i="22"/>
  <c r="B20" i="22"/>
  <c r="D19" i="22"/>
  <c r="F18" i="22"/>
  <c r="O40" i="22"/>
  <c r="N39" i="22"/>
  <c r="K39" i="22"/>
  <c r="M38" i="22"/>
  <c r="J38" i="22"/>
  <c r="L37" i="22"/>
  <c r="O36" i="22"/>
  <c r="N35" i="22"/>
  <c r="K35" i="22"/>
  <c r="M34" i="22"/>
  <c r="J34" i="22"/>
  <c r="L33" i="22"/>
  <c r="O32" i="22"/>
  <c r="N31" i="22"/>
  <c r="K31" i="22"/>
  <c r="M30" i="22"/>
  <c r="J30" i="22"/>
  <c r="L29" i="22"/>
  <c r="O28" i="22"/>
  <c r="N27" i="22"/>
  <c r="K27" i="22"/>
  <c r="M26" i="22"/>
  <c r="J26" i="22"/>
  <c r="L25" i="22"/>
  <c r="G40" i="22"/>
  <c r="C40" i="22"/>
  <c r="E39" i="22"/>
  <c r="G38" i="22"/>
  <c r="C38" i="22"/>
  <c r="E37" i="22"/>
  <c r="G36" i="22"/>
  <c r="C36" i="22"/>
  <c r="E35" i="22"/>
  <c r="G34" i="22"/>
  <c r="C34" i="22"/>
  <c r="E33" i="22"/>
  <c r="G32" i="22"/>
  <c r="C32" i="22"/>
  <c r="E31" i="22"/>
  <c r="G30" i="22"/>
  <c r="C30" i="22"/>
  <c r="E29" i="22"/>
  <c r="G28" i="22"/>
  <c r="C28" i="22"/>
  <c r="E27" i="22"/>
  <c r="G26" i="22"/>
  <c r="C26" i="22"/>
  <c r="E25" i="22"/>
  <c r="O21" i="22"/>
  <c r="N20" i="22"/>
  <c r="K20" i="22"/>
  <c r="M19" i="22"/>
  <c r="J19" i="22"/>
  <c r="L18" i="22"/>
  <c r="O17" i="22"/>
  <c r="N16" i="22"/>
  <c r="K16" i="22"/>
  <c r="M15" i="22"/>
  <c r="J15" i="22"/>
  <c r="L14" i="22"/>
  <c r="O13" i="22"/>
  <c r="N12" i="22"/>
  <c r="K12" i="22"/>
  <c r="M11" i="22"/>
  <c r="J11" i="22"/>
  <c r="L10" i="22"/>
  <c r="O9" i="22"/>
  <c r="N8" i="22"/>
  <c r="K8" i="22"/>
  <c r="M7" i="22"/>
  <c r="J7" i="22"/>
  <c r="L6" i="22"/>
  <c r="G21" i="22"/>
  <c r="C21" i="22"/>
  <c r="E20" i="22"/>
  <c r="G19" i="22"/>
  <c r="C19" i="22"/>
  <c r="D18" i="22"/>
  <c r="F17" i="22"/>
  <c r="B17" i="22"/>
  <c r="D16" i="22"/>
  <c r="F15" i="22"/>
  <c r="B15" i="22"/>
  <c r="D14" i="22"/>
  <c r="F13" i="22"/>
  <c r="B13" i="22"/>
  <c r="D12" i="22"/>
  <c r="F11" i="22"/>
  <c r="B11" i="22"/>
  <c r="D10" i="22"/>
  <c r="F9" i="22"/>
  <c r="B9" i="22"/>
  <c r="D8" i="22"/>
  <c r="F7" i="22"/>
  <c r="B7" i="22"/>
  <c r="D6" i="22"/>
  <c r="C18" i="22"/>
  <c r="E17" i="22"/>
  <c r="G16" i="22"/>
  <c r="C16" i="22"/>
  <c r="E15" i="22"/>
  <c r="G14" i="22"/>
  <c r="C14" i="22"/>
  <c r="E13" i="22"/>
  <c r="G12" i="22"/>
  <c r="C12" i="22"/>
  <c r="E11" i="22"/>
  <c r="G10" i="22"/>
  <c r="C10" i="22"/>
  <c r="E9" i="22"/>
  <c r="G8" i="22"/>
  <c r="C8" i="22"/>
  <c r="E7" i="22"/>
  <c r="G6" i="22"/>
  <c r="C6" i="22"/>
  <c r="B18" i="22"/>
  <c r="D17" i="22"/>
  <c r="F16" i="22"/>
  <c r="B16" i="22"/>
  <c r="D15" i="22"/>
  <c r="F14" i="22"/>
  <c r="B14" i="22"/>
  <c r="D13" i="22"/>
  <c r="F12" i="22"/>
  <c r="B12" i="22"/>
  <c r="D11" i="22"/>
  <c r="F10" i="22"/>
  <c r="B10" i="22"/>
  <c r="D9" i="22"/>
  <c r="F8" i="22"/>
  <c r="B8" i="22"/>
  <c r="D7" i="22"/>
  <c r="F6" i="22"/>
  <c r="B6" i="22"/>
  <c r="E18" i="22"/>
  <c r="G17" i="22"/>
  <c r="C17" i="22"/>
  <c r="E16" i="22"/>
  <c r="G15" i="22"/>
  <c r="C15" i="22"/>
  <c r="E14" i="22"/>
  <c r="G13" i="22"/>
  <c r="C13" i="22"/>
  <c r="E12" i="22"/>
  <c r="G11" i="22"/>
  <c r="C11" i="22"/>
  <c r="E10" i="22"/>
  <c r="G9" i="22"/>
  <c r="C9" i="22"/>
  <c r="E8" i="22"/>
  <c r="G7" i="22"/>
  <c r="C7" i="22"/>
  <c r="E6" i="22"/>
  <c r="V20" i="22"/>
  <c r="L40" i="21"/>
  <c r="O39" i="21"/>
  <c r="N38" i="21"/>
  <c r="K38" i="21"/>
  <c r="M37" i="21"/>
  <c r="J37" i="21"/>
  <c r="L36" i="21"/>
  <c r="O35" i="21"/>
  <c r="N34" i="21"/>
  <c r="K34" i="21"/>
  <c r="M33" i="21"/>
  <c r="J33" i="21"/>
  <c r="L32" i="21"/>
  <c r="O31" i="21"/>
  <c r="N30" i="21"/>
  <c r="K30" i="21"/>
  <c r="M29" i="21"/>
  <c r="J29" i="21"/>
  <c r="L28" i="21"/>
  <c r="O27" i="21"/>
  <c r="N26" i="21"/>
  <c r="K26" i="21"/>
  <c r="M25" i="21"/>
  <c r="J25" i="21"/>
  <c r="D40" i="21"/>
  <c r="F39" i="21"/>
  <c r="B39" i="21"/>
  <c r="D38" i="21"/>
  <c r="F37" i="21"/>
  <c r="B37" i="21"/>
  <c r="D36" i="21"/>
  <c r="F35" i="21"/>
  <c r="B35" i="21"/>
  <c r="D34" i="21"/>
  <c r="F33" i="21"/>
  <c r="B33" i="21"/>
  <c r="D32" i="21"/>
  <c r="F31" i="21"/>
  <c r="B31" i="21"/>
  <c r="D30" i="21"/>
  <c r="F29" i="21"/>
  <c r="B29" i="21"/>
  <c r="D28" i="21"/>
  <c r="F27" i="21"/>
  <c r="B27" i="21"/>
  <c r="D26" i="21"/>
  <c r="F25" i="21"/>
  <c r="B25" i="21"/>
  <c r="L21" i="21"/>
  <c r="O20" i="21"/>
  <c r="N19" i="21"/>
  <c r="K19" i="21"/>
  <c r="M18" i="21"/>
  <c r="J18" i="21"/>
  <c r="L17" i="21"/>
  <c r="O16" i="21"/>
  <c r="N15" i="21"/>
  <c r="K15" i="21"/>
  <c r="M14" i="21"/>
  <c r="J14" i="21"/>
  <c r="L13" i="21"/>
  <c r="O12" i="21"/>
  <c r="N11" i="21"/>
  <c r="K11" i="21"/>
  <c r="M10" i="21"/>
  <c r="J10" i="21"/>
  <c r="L9" i="21"/>
  <c r="O8" i="21"/>
  <c r="N7" i="21"/>
  <c r="K7" i="21"/>
  <c r="M6" i="21"/>
  <c r="J6" i="21"/>
  <c r="D21" i="21"/>
  <c r="F20" i="21"/>
  <c r="B20" i="21"/>
  <c r="D19" i="21"/>
  <c r="F18" i="21"/>
  <c r="M39" i="21"/>
  <c r="O38" i="21"/>
  <c r="J38" i="21"/>
  <c r="M36" i="21"/>
  <c r="N35" i="21"/>
  <c r="J35" i="21"/>
  <c r="L33" i="21"/>
  <c r="N32" i="21"/>
  <c r="J32" i="21"/>
  <c r="K31" i="21"/>
  <c r="L30" i="21"/>
  <c r="N29" i="21"/>
  <c r="O28" i="21"/>
  <c r="K28" i="21"/>
  <c r="L27" i="21"/>
  <c r="M26" i="21"/>
  <c r="O25" i="21"/>
  <c r="K25" i="21"/>
  <c r="C40" i="21"/>
  <c r="D39" i="21"/>
  <c r="E38" i="21"/>
  <c r="E37" i="21"/>
  <c r="F36" i="21"/>
  <c r="G35" i="21"/>
  <c r="G34" i="21"/>
  <c r="B34" i="21"/>
  <c r="C33" i="21"/>
  <c r="C32" i="21"/>
  <c r="D31" i="21"/>
  <c r="E30" i="21"/>
  <c r="E29" i="21"/>
  <c r="F28" i="21"/>
  <c r="G27" i="21"/>
  <c r="G26" i="21"/>
  <c r="B26" i="21"/>
  <c r="C25" i="21"/>
  <c r="M20" i="21"/>
  <c r="O19" i="21"/>
  <c r="J19" i="21"/>
  <c r="M17" i="21"/>
  <c r="N16" i="21"/>
  <c r="J16" i="21"/>
  <c r="L14" i="21"/>
  <c r="N13" i="21"/>
  <c r="J13" i="21"/>
  <c r="K12" i="21"/>
  <c r="L11" i="21"/>
  <c r="N10" i="21"/>
  <c r="O9" i="21"/>
  <c r="K9" i="21"/>
  <c r="L8" i="21"/>
  <c r="M7" i="21"/>
  <c r="O6" i="21"/>
  <c r="K6" i="21"/>
  <c r="C21" i="21"/>
  <c r="D20" i="21"/>
  <c r="E19" i="21"/>
  <c r="E18" i="21"/>
  <c r="G17" i="21"/>
  <c r="C17" i="21"/>
  <c r="E16" i="21"/>
  <c r="G15" i="21"/>
  <c r="C15" i="21"/>
  <c r="E14" i="21"/>
  <c r="G13" i="21"/>
  <c r="C13" i="21"/>
  <c r="E12" i="21"/>
  <c r="G11" i="21"/>
  <c r="C11" i="21"/>
  <c r="E10" i="21"/>
  <c r="G9" i="21"/>
  <c r="C9" i="21"/>
  <c r="E8" i="21"/>
  <c r="G7" i="21"/>
  <c r="C7" i="21"/>
  <c r="E6" i="21"/>
  <c r="B17" i="21"/>
  <c r="J40" i="21"/>
  <c r="O40" i="21"/>
  <c r="K40" i="21"/>
  <c r="L39" i="21"/>
  <c r="M38" i="21"/>
  <c r="O37" i="21"/>
  <c r="K37" i="21"/>
  <c r="M35" i="21"/>
  <c r="O34" i="21"/>
  <c r="J34" i="21"/>
  <c r="M32" i="21"/>
  <c r="N31" i="21"/>
  <c r="J31" i="21"/>
  <c r="L29" i="21"/>
  <c r="N28" i="21"/>
  <c r="J28" i="21"/>
  <c r="K27" i="21"/>
  <c r="L26" i="21"/>
  <c r="N25" i="21"/>
  <c r="G40" i="21"/>
  <c r="B40" i="21"/>
  <c r="C39" i="21"/>
  <c r="C38" i="21"/>
  <c r="D37" i="21"/>
  <c r="E36" i="21"/>
  <c r="E35" i="21"/>
  <c r="F34" i="21"/>
  <c r="G33" i="21"/>
  <c r="G32" i="21"/>
  <c r="B32" i="21"/>
  <c r="C31" i="21"/>
  <c r="C30" i="21"/>
  <c r="D29" i="21"/>
  <c r="E28" i="21"/>
  <c r="E27" i="21"/>
  <c r="F26" i="21"/>
  <c r="G25" i="21"/>
  <c r="O21" i="21"/>
  <c r="K21" i="21"/>
  <c r="L20" i="21"/>
  <c r="M19" i="21"/>
  <c r="O18" i="21"/>
  <c r="K18" i="21"/>
  <c r="M16" i="21"/>
  <c r="O15" i="21"/>
  <c r="J15" i="21"/>
  <c r="M13" i="21"/>
  <c r="N12" i="21"/>
  <c r="J12" i="21"/>
  <c r="L10" i="21"/>
  <c r="N9" i="21"/>
  <c r="J9" i="21"/>
  <c r="K8" i="21"/>
  <c r="L7" i="21"/>
  <c r="N6" i="21"/>
  <c r="G21" i="21"/>
  <c r="B21" i="21"/>
  <c r="C20" i="21"/>
  <c r="C19" i="21"/>
  <c r="D18" i="21"/>
  <c r="F17" i="21"/>
  <c r="D16" i="21"/>
  <c r="F15" i="21"/>
  <c r="B15" i="21"/>
  <c r="D14" i="21"/>
  <c r="F13" i="21"/>
  <c r="B13" i="21"/>
  <c r="D12" i="21"/>
  <c r="F11" i="21"/>
  <c r="B11" i="21"/>
  <c r="D10" i="21"/>
  <c r="F9" i="21"/>
  <c r="B9" i="21"/>
  <c r="D8" i="21"/>
  <c r="F7" i="21"/>
  <c r="B7" i="21"/>
  <c r="D6" i="21"/>
  <c r="N40" i="21"/>
  <c r="K39" i="21"/>
  <c r="L38" i="21"/>
  <c r="N36" i="21"/>
  <c r="K35" i="21"/>
  <c r="N33" i="21"/>
  <c r="K32" i="21"/>
  <c r="M30" i="21"/>
  <c r="K29" i="21"/>
  <c r="M27" i="21"/>
  <c r="J26" i="21"/>
  <c r="E40" i="21"/>
  <c r="F38" i="21"/>
  <c r="G36" i="21"/>
  <c r="C35" i="21"/>
  <c r="D33" i="21"/>
  <c r="E31" i="21"/>
  <c r="G29" i="21"/>
  <c r="B28" i="21"/>
  <c r="C26" i="21"/>
  <c r="M21" i="21"/>
  <c r="J20" i="21"/>
  <c r="L18" i="21"/>
  <c r="J17" i="21"/>
  <c r="L15" i="21"/>
  <c r="O13" i="21"/>
  <c r="L12" i="21"/>
  <c r="O10" i="21"/>
  <c r="O7" i="21"/>
  <c r="E20" i="21"/>
  <c r="G18" i="21"/>
  <c r="D17" i="21"/>
  <c r="B16" i="21"/>
  <c r="F14" i="21"/>
  <c r="D13" i="21"/>
  <c r="B12" i="21"/>
  <c r="F10" i="21"/>
  <c r="D9" i="21"/>
  <c r="B8" i="21"/>
  <c r="F6" i="21"/>
  <c r="N14" i="21"/>
  <c r="F40" i="21"/>
  <c r="C28" i="21"/>
  <c r="K20" i="21"/>
  <c r="K17" i="21"/>
  <c r="K14" i="21"/>
  <c r="J11" i="21"/>
  <c r="M9" i="21"/>
  <c r="L6" i="21"/>
  <c r="B19" i="21"/>
  <c r="C16" i="21"/>
  <c r="E13" i="21"/>
  <c r="C12" i="21"/>
  <c r="E9" i="21"/>
  <c r="M40" i="21"/>
  <c r="N37" i="21"/>
  <c r="K36" i="21"/>
  <c r="M34" i="21"/>
  <c r="K33" i="21"/>
  <c r="M31" i="21"/>
  <c r="J30" i="21"/>
  <c r="M28" i="21"/>
  <c r="J27" i="21"/>
  <c r="L25" i="21"/>
  <c r="G39" i="21"/>
  <c r="B38" i="21"/>
  <c r="C36" i="21"/>
  <c r="E34" i="21"/>
  <c r="F32" i="21"/>
  <c r="G30" i="21"/>
  <c r="C29" i="21"/>
  <c r="D27" i="21"/>
  <c r="E25" i="21"/>
  <c r="J21" i="21"/>
  <c r="L19" i="21"/>
  <c r="O17" i="21"/>
  <c r="L16" i="21"/>
  <c r="O14" i="21"/>
  <c r="O11" i="21"/>
  <c r="N8" i="21"/>
  <c r="F21" i="21"/>
  <c r="G19" i="21"/>
  <c r="C18" i="21"/>
  <c r="G16" i="21"/>
  <c r="E15" i="21"/>
  <c r="C14" i="21"/>
  <c r="G12" i="21"/>
  <c r="E11" i="21"/>
  <c r="C10" i="21"/>
  <c r="G8" i="21"/>
  <c r="E7" i="21"/>
  <c r="C6" i="21"/>
  <c r="N39" i="21"/>
  <c r="L37" i="21"/>
  <c r="J36" i="21"/>
  <c r="L34" i="21"/>
  <c r="O32" i="21"/>
  <c r="L31" i="21"/>
  <c r="O29" i="21"/>
  <c r="O26" i="21"/>
  <c r="E39" i="21"/>
  <c r="G37" i="21"/>
  <c r="B36" i="21"/>
  <c r="C34" i="21"/>
  <c r="E32" i="21"/>
  <c r="F30" i="21"/>
  <c r="G28" i="21"/>
  <c r="C27" i="21"/>
  <c r="D25" i="21"/>
  <c r="N20" i="21"/>
  <c r="N17" i="21"/>
  <c r="K16" i="21"/>
  <c r="K13" i="21"/>
  <c r="M11" i="21"/>
  <c r="K10" i="21"/>
  <c r="M8" i="21"/>
  <c r="J7" i="21"/>
  <c r="E21" i="21"/>
  <c r="F19" i="21"/>
  <c r="B18" i="21"/>
  <c r="F16" i="21"/>
  <c r="D15" i="21"/>
  <c r="B14" i="21"/>
  <c r="F12" i="21"/>
  <c r="D11" i="21"/>
  <c r="B10" i="21"/>
  <c r="F8" i="21"/>
  <c r="D7" i="21"/>
  <c r="B6" i="21"/>
  <c r="J39" i="21"/>
  <c r="O36" i="21"/>
  <c r="L35" i="21"/>
  <c r="O33" i="21"/>
  <c r="O30" i="21"/>
  <c r="N27" i="21"/>
  <c r="G38" i="21"/>
  <c r="C37" i="21"/>
  <c r="D35" i="21"/>
  <c r="E33" i="21"/>
  <c r="G31" i="21"/>
  <c r="B30" i="21"/>
  <c r="E26" i="21"/>
  <c r="N21" i="21"/>
  <c r="N18" i="21"/>
  <c r="M15" i="21"/>
  <c r="M12" i="21"/>
  <c r="J8" i="21"/>
  <c r="G20" i="21"/>
  <c r="E17" i="21"/>
  <c r="G14" i="21"/>
  <c r="G10" i="21"/>
  <c r="C8" i="21"/>
  <c r="G6" i="21"/>
  <c r="V21" i="21"/>
  <c r="V17" i="21"/>
  <c r="V16" i="21"/>
  <c r="V19" i="21"/>
  <c r="V20" i="21"/>
  <c r="V18" i="21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P40" i="19"/>
  <c r="P36" i="19"/>
  <c r="P32" i="19"/>
  <c r="P28" i="19"/>
  <c r="I38" i="19"/>
  <c r="I34" i="19"/>
  <c r="I30" i="19"/>
  <c r="B40" i="19"/>
  <c r="B36" i="19"/>
  <c r="B32" i="19"/>
  <c r="B28" i="19"/>
  <c r="I18" i="19"/>
  <c r="I14" i="19"/>
  <c r="I10" i="19"/>
  <c r="E61" i="19"/>
  <c r="E59" i="19"/>
  <c r="E52" i="19"/>
  <c r="E48" i="19"/>
  <c r="P37" i="19"/>
  <c r="I39" i="19"/>
  <c r="I31" i="19"/>
  <c r="B29" i="19"/>
  <c r="I11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P39" i="19"/>
  <c r="P35" i="19"/>
  <c r="P31" i="19"/>
  <c r="I41" i="19"/>
  <c r="I37" i="19"/>
  <c r="I33" i="19"/>
  <c r="I29" i="19"/>
  <c r="B39" i="19"/>
  <c r="B35" i="19"/>
  <c r="B31" i="19"/>
  <c r="I21" i="19"/>
  <c r="I17" i="19"/>
  <c r="I13" i="19"/>
  <c r="I9" i="19"/>
  <c r="E58" i="19"/>
  <c r="E53" i="19"/>
  <c r="E49" i="19"/>
  <c r="P33" i="19"/>
  <c r="I35" i="19"/>
  <c r="B37" i="19"/>
  <c r="I19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P38" i="19"/>
  <c r="P34" i="19"/>
  <c r="P30" i="19"/>
  <c r="I40" i="19"/>
  <c r="I36" i="19"/>
  <c r="I32" i="19"/>
  <c r="I28" i="19"/>
  <c r="B38" i="19"/>
  <c r="B34" i="19"/>
  <c r="B30" i="19"/>
  <c r="I20" i="19"/>
  <c r="I16" i="19"/>
  <c r="I12" i="19"/>
  <c r="I8" i="19"/>
  <c r="E60" i="19"/>
  <c r="E57" i="19"/>
  <c r="E56" i="19"/>
  <c r="E55" i="19"/>
  <c r="E54" i="19"/>
  <c r="E51" i="19"/>
  <c r="E50" i="19"/>
  <c r="P41" i="19"/>
  <c r="P29" i="19"/>
  <c r="B41" i="19"/>
  <c r="B33" i="19"/>
  <c r="I15" i="19"/>
  <c r="U18" i="19"/>
  <c r="U19" i="19"/>
  <c r="U11" i="19"/>
  <c r="U17" i="19"/>
  <c r="U13" i="19"/>
  <c r="U14" i="19"/>
  <c r="U15" i="19"/>
  <c r="U21" i="19"/>
  <c r="U20" i="20"/>
  <c r="P40" i="20"/>
  <c r="P36" i="20"/>
  <c r="P32" i="20"/>
  <c r="P28" i="20"/>
  <c r="I38" i="20"/>
  <c r="I34" i="20"/>
  <c r="I30" i="20"/>
  <c r="B40" i="20"/>
  <c r="B36" i="20"/>
  <c r="B32" i="20"/>
  <c r="B28" i="20"/>
  <c r="I18" i="20"/>
  <c r="I14" i="20"/>
  <c r="I10" i="20"/>
  <c r="P41" i="20"/>
  <c r="I39" i="20"/>
  <c r="B41" i="20"/>
  <c r="B33" i="20"/>
  <c r="I15" i="20"/>
  <c r="P39" i="20"/>
  <c r="P35" i="20"/>
  <c r="P31" i="20"/>
  <c r="I41" i="20"/>
  <c r="I37" i="20"/>
  <c r="I33" i="20"/>
  <c r="I29" i="20"/>
  <c r="B39" i="20"/>
  <c r="B35" i="20"/>
  <c r="B31" i="20"/>
  <c r="I21" i="20"/>
  <c r="I17" i="20"/>
  <c r="I13" i="20"/>
  <c r="I9" i="20"/>
  <c r="P37" i="20"/>
  <c r="P29" i="20"/>
  <c r="I31" i="20"/>
  <c r="B29" i="20"/>
  <c r="I11" i="20"/>
  <c r="P38" i="20"/>
  <c r="P34" i="20"/>
  <c r="P30" i="20"/>
  <c r="I40" i="20"/>
  <c r="I36" i="20"/>
  <c r="I32" i="20"/>
  <c r="I28" i="20"/>
  <c r="B38" i="20"/>
  <c r="B34" i="20"/>
  <c r="B30" i="20"/>
  <c r="I20" i="20"/>
  <c r="I16" i="20"/>
  <c r="I12" i="20"/>
  <c r="I8" i="20"/>
  <c r="P33" i="20"/>
  <c r="I35" i="20"/>
  <c r="B37" i="20"/>
  <c r="I19" i="20"/>
  <c r="U14" i="20"/>
  <c r="U18" i="20"/>
  <c r="U11" i="20"/>
  <c r="U15" i="20"/>
  <c r="U19" i="20"/>
  <c r="U12" i="20"/>
  <c r="U16" i="20"/>
  <c r="L41" i="20"/>
  <c r="N39" i="20"/>
  <c r="K39" i="20"/>
  <c r="M38" i="20"/>
  <c r="J38" i="20"/>
  <c r="L37" i="20"/>
  <c r="N35" i="20"/>
  <c r="K35" i="20"/>
  <c r="M34" i="20"/>
  <c r="J34" i="20"/>
  <c r="L33" i="20"/>
  <c r="N31" i="20"/>
  <c r="K31" i="20"/>
  <c r="M30" i="20"/>
  <c r="J30" i="20"/>
  <c r="L29" i="20"/>
  <c r="N27" i="20"/>
  <c r="K27" i="20"/>
  <c r="L26" i="20"/>
  <c r="G41" i="20"/>
  <c r="D41" i="20"/>
  <c r="F40" i="20"/>
  <c r="C40" i="20"/>
  <c r="E39" i="20"/>
  <c r="G37" i="20"/>
  <c r="D37" i="20"/>
  <c r="F36" i="20"/>
  <c r="C36" i="20"/>
  <c r="E35" i="20"/>
  <c r="G33" i="20"/>
  <c r="D33" i="20"/>
  <c r="F32" i="20"/>
  <c r="C32" i="20"/>
  <c r="E31" i="20"/>
  <c r="G29" i="20"/>
  <c r="D29" i="20"/>
  <c r="F28" i="20"/>
  <c r="C28" i="20"/>
  <c r="E27" i="20"/>
  <c r="G26" i="20"/>
  <c r="D26" i="20"/>
  <c r="L21" i="20"/>
  <c r="N19" i="20"/>
  <c r="K19" i="20"/>
  <c r="M18" i="20"/>
  <c r="J18" i="20"/>
  <c r="L17" i="20"/>
  <c r="N15" i="20"/>
  <c r="K15" i="20"/>
  <c r="M14" i="20"/>
  <c r="J14" i="20"/>
  <c r="L13" i="20"/>
  <c r="N11" i="20"/>
  <c r="K11" i="20"/>
  <c r="M10" i="20"/>
  <c r="J10" i="20"/>
  <c r="L9" i="20"/>
  <c r="N7" i="20"/>
  <c r="K7" i="20"/>
  <c r="N40" i="20"/>
  <c r="K40" i="20"/>
  <c r="M39" i="20"/>
  <c r="J39" i="20"/>
  <c r="L38" i="20"/>
  <c r="N36" i="20"/>
  <c r="K36" i="20"/>
  <c r="M35" i="20"/>
  <c r="J35" i="20"/>
  <c r="L34" i="20"/>
  <c r="N32" i="20"/>
  <c r="K32" i="20"/>
  <c r="M31" i="20"/>
  <c r="J31" i="20"/>
  <c r="L30" i="20"/>
  <c r="N28" i="20"/>
  <c r="K28" i="20"/>
  <c r="M27" i="20"/>
  <c r="J27" i="20"/>
  <c r="F41" i="20"/>
  <c r="C41" i="20"/>
  <c r="E40" i="20"/>
  <c r="G38" i="20"/>
  <c r="D38" i="20"/>
  <c r="F37" i="20"/>
  <c r="C37" i="20"/>
  <c r="E36" i="20"/>
  <c r="G34" i="20"/>
  <c r="D34" i="20"/>
  <c r="F33" i="20"/>
  <c r="C33" i="20"/>
  <c r="E32" i="20"/>
  <c r="G30" i="20"/>
  <c r="D30" i="20"/>
  <c r="F29" i="20"/>
  <c r="C29" i="20"/>
  <c r="E28" i="20"/>
  <c r="F26" i="20"/>
  <c r="C26" i="20"/>
  <c r="N20" i="20"/>
  <c r="K20" i="20"/>
  <c r="M19" i="20"/>
  <c r="J19" i="20"/>
  <c r="L18" i="20"/>
  <c r="N16" i="20"/>
  <c r="K16" i="20"/>
  <c r="M15" i="20"/>
  <c r="J15" i="20"/>
  <c r="L14" i="20"/>
  <c r="N12" i="20"/>
  <c r="K12" i="20"/>
  <c r="M11" i="20"/>
  <c r="J11" i="20"/>
  <c r="L10" i="20"/>
  <c r="N8" i="20"/>
  <c r="K8" i="20"/>
  <c r="M7" i="20"/>
  <c r="J7" i="20"/>
  <c r="N41" i="20"/>
  <c r="K41" i="20"/>
  <c r="M40" i="20"/>
  <c r="J40" i="20"/>
  <c r="L39" i="20"/>
  <c r="N37" i="20"/>
  <c r="K37" i="20"/>
  <c r="M36" i="20"/>
  <c r="J36" i="20"/>
  <c r="L35" i="20"/>
  <c r="N33" i="20"/>
  <c r="K33" i="20"/>
  <c r="M32" i="20"/>
  <c r="J32" i="20"/>
  <c r="L31" i="20"/>
  <c r="N29" i="20"/>
  <c r="K29" i="20"/>
  <c r="M28" i="20"/>
  <c r="J28" i="20"/>
  <c r="L27" i="20"/>
  <c r="N26" i="20"/>
  <c r="K26" i="20"/>
  <c r="E41" i="20"/>
  <c r="G39" i="20"/>
  <c r="D39" i="20"/>
  <c r="F38" i="20"/>
  <c r="C38" i="20"/>
  <c r="E37" i="20"/>
  <c r="G35" i="20"/>
  <c r="D35" i="20"/>
  <c r="F34" i="20"/>
  <c r="C34" i="20"/>
  <c r="E33" i="20"/>
  <c r="G31" i="20"/>
  <c r="D31" i="20"/>
  <c r="F30" i="20"/>
  <c r="C30" i="20"/>
  <c r="E29" i="20"/>
  <c r="G27" i="20"/>
  <c r="D27" i="20"/>
  <c r="E26" i="20"/>
  <c r="N21" i="20"/>
  <c r="K21" i="20"/>
  <c r="M20" i="20"/>
  <c r="J20" i="20"/>
  <c r="L19" i="20"/>
  <c r="N17" i="20"/>
  <c r="K17" i="20"/>
  <c r="M16" i="20"/>
  <c r="J16" i="20"/>
  <c r="L15" i="20"/>
  <c r="N13" i="20"/>
  <c r="K13" i="20"/>
  <c r="M12" i="20"/>
  <c r="J12" i="20"/>
  <c r="L11" i="20"/>
  <c r="N9" i="20"/>
  <c r="K9" i="20"/>
  <c r="M8" i="20"/>
  <c r="J8" i="20"/>
  <c r="L7" i="20"/>
  <c r="N6" i="20"/>
  <c r="J41" i="20"/>
  <c r="N38" i="20"/>
  <c r="L36" i="20"/>
  <c r="K34" i="20"/>
  <c r="M29" i="20"/>
  <c r="G40" i="20"/>
  <c r="E38" i="20"/>
  <c r="D36" i="20"/>
  <c r="F31" i="20"/>
  <c r="C27" i="20"/>
  <c r="L20" i="20"/>
  <c r="K18" i="20"/>
  <c r="M13" i="20"/>
  <c r="J9" i="20"/>
  <c r="M6" i="20"/>
  <c r="J6" i="20"/>
  <c r="F20" i="20"/>
  <c r="C20" i="20"/>
  <c r="F18" i="20"/>
  <c r="C18" i="20"/>
  <c r="F16" i="20"/>
  <c r="C16" i="20"/>
  <c r="F14" i="20"/>
  <c r="C14" i="20"/>
  <c r="F12" i="20"/>
  <c r="C12" i="20"/>
  <c r="F10" i="20"/>
  <c r="C10" i="20"/>
  <c r="F8" i="20"/>
  <c r="C8" i="20"/>
  <c r="F6" i="20"/>
  <c r="C6" i="20"/>
  <c r="L32" i="20"/>
  <c r="G36" i="20"/>
  <c r="J21" i="20"/>
  <c r="L16" i="20"/>
  <c r="K6" i="20"/>
  <c r="D20" i="20"/>
  <c r="G18" i="20"/>
  <c r="D16" i="20"/>
  <c r="G14" i="20"/>
  <c r="G12" i="20"/>
  <c r="D10" i="20"/>
  <c r="D8" i="20"/>
  <c r="D6" i="20"/>
  <c r="L40" i="20"/>
  <c r="K38" i="20"/>
  <c r="M33" i="20"/>
  <c r="J29" i="20"/>
  <c r="M26" i="20"/>
  <c r="D40" i="20"/>
  <c r="F35" i="20"/>
  <c r="C31" i="20"/>
  <c r="G28" i="20"/>
  <c r="M17" i="20"/>
  <c r="J13" i="20"/>
  <c r="N10" i="20"/>
  <c r="L8" i="20"/>
  <c r="L6" i="20"/>
  <c r="G21" i="20"/>
  <c r="D21" i="20"/>
  <c r="E20" i="20"/>
  <c r="G19" i="20"/>
  <c r="D19" i="20"/>
  <c r="E18" i="20"/>
  <c r="G17" i="20"/>
  <c r="D17" i="20"/>
  <c r="E16" i="20"/>
  <c r="G15" i="20"/>
  <c r="D15" i="20"/>
  <c r="E14" i="20"/>
  <c r="G13" i="20"/>
  <c r="D13" i="20"/>
  <c r="E12" i="20"/>
  <c r="G11" i="20"/>
  <c r="D11" i="20"/>
  <c r="E10" i="20"/>
  <c r="G9" i="20"/>
  <c r="D9" i="20"/>
  <c r="E8" i="20"/>
  <c r="G7" i="20"/>
  <c r="D7" i="20"/>
  <c r="E6" i="20"/>
  <c r="J37" i="20"/>
  <c r="K14" i="20"/>
  <c r="G20" i="20"/>
  <c r="E19" i="20"/>
  <c r="D18" i="20"/>
  <c r="E17" i="20"/>
  <c r="E15" i="20"/>
  <c r="E13" i="20"/>
  <c r="E11" i="20"/>
  <c r="E9" i="20"/>
  <c r="E7" i="20"/>
  <c r="M37" i="20"/>
  <c r="J33" i="20"/>
  <c r="N30" i="20"/>
  <c r="L28" i="20"/>
  <c r="J26" i="20"/>
  <c r="F39" i="20"/>
  <c r="C35" i="20"/>
  <c r="G32" i="20"/>
  <c r="E30" i="20"/>
  <c r="D28" i="20"/>
  <c r="M21" i="20"/>
  <c r="J17" i="20"/>
  <c r="N14" i="20"/>
  <c r="L12" i="20"/>
  <c r="K10" i="20"/>
  <c r="F21" i="20"/>
  <c r="C21" i="20"/>
  <c r="F19" i="20"/>
  <c r="C19" i="20"/>
  <c r="F17" i="20"/>
  <c r="C17" i="20"/>
  <c r="F15" i="20"/>
  <c r="C15" i="20"/>
  <c r="F13" i="20"/>
  <c r="C13" i="20"/>
  <c r="F11" i="20"/>
  <c r="C11" i="20"/>
  <c r="F9" i="20"/>
  <c r="C9" i="20"/>
  <c r="F7" i="20"/>
  <c r="C7" i="20"/>
  <c r="M41" i="20"/>
  <c r="N34" i="20"/>
  <c r="K30" i="20"/>
  <c r="C39" i="20"/>
  <c r="E34" i="20"/>
  <c r="D32" i="20"/>
  <c r="F27" i="20"/>
  <c r="N18" i="20"/>
  <c r="M9" i="20"/>
  <c r="E21" i="20"/>
  <c r="G16" i="20"/>
  <c r="D14" i="20"/>
  <c r="D12" i="20"/>
  <c r="G10" i="20"/>
  <c r="G8" i="20"/>
  <c r="G6" i="20"/>
  <c r="U13" i="20"/>
  <c r="U17" i="20"/>
  <c r="U21" i="20"/>
  <c r="G41" i="19"/>
  <c r="D41" i="19"/>
  <c r="F40" i="19"/>
  <c r="C40" i="19"/>
  <c r="E39" i="19"/>
  <c r="G37" i="19"/>
  <c r="D37" i="19"/>
  <c r="F36" i="19"/>
  <c r="C36" i="19"/>
  <c r="E35" i="19"/>
  <c r="G33" i="19"/>
  <c r="D33" i="19"/>
  <c r="F32" i="19"/>
  <c r="C32" i="19"/>
  <c r="E31" i="19"/>
  <c r="G29" i="19"/>
  <c r="D29" i="19"/>
  <c r="F28" i="19"/>
  <c r="C28" i="19"/>
  <c r="E27" i="19"/>
  <c r="G26" i="19"/>
  <c r="D26" i="19"/>
  <c r="N41" i="19"/>
  <c r="K41" i="19"/>
  <c r="M40" i="19"/>
  <c r="J40" i="19"/>
  <c r="L39" i="19"/>
  <c r="N37" i="19"/>
  <c r="K37" i="19"/>
  <c r="M36" i="19"/>
  <c r="J36" i="19"/>
  <c r="L35" i="19"/>
  <c r="N33" i="19"/>
  <c r="K33" i="19"/>
  <c r="M32" i="19"/>
  <c r="J32" i="19"/>
  <c r="L31" i="19"/>
  <c r="N29" i="19"/>
  <c r="K29" i="19"/>
  <c r="M28" i="19"/>
  <c r="J28" i="19"/>
  <c r="L27" i="19"/>
  <c r="N26" i="19"/>
  <c r="K26" i="19"/>
  <c r="L21" i="19"/>
  <c r="N19" i="19"/>
  <c r="K19" i="19"/>
  <c r="M18" i="19"/>
  <c r="J18" i="19"/>
  <c r="L17" i="19"/>
  <c r="N15" i="19"/>
  <c r="K15" i="19"/>
  <c r="F41" i="19"/>
  <c r="C41" i="19"/>
  <c r="E40" i="19"/>
  <c r="G38" i="19"/>
  <c r="D38" i="19"/>
  <c r="F37" i="19"/>
  <c r="C37" i="19"/>
  <c r="E36" i="19"/>
  <c r="G34" i="19"/>
  <c r="D34" i="19"/>
  <c r="F33" i="19"/>
  <c r="C33" i="19"/>
  <c r="E32" i="19"/>
  <c r="G30" i="19"/>
  <c r="D30" i="19"/>
  <c r="F29" i="19"/>
  <c r="C29" i="19"/>
  <c r="E28" i="19"/>
  <c r="F26" i="19"/>
  <c r="C26" i="19"/>
  <c r="M41" i="19"/>
  <c r="J41" i="19"/>
  <c r="L40" i="19"/>
  <c r="N38" i="19"/>
  <c r="K38" i="19"/>
  <c r="M37" i="19"/>
  <c r="J37" i="19"/>
  <c r="L36" i="19"/>
  <c r="N34" i="19"/>
  <c r="K34" i="19"/>
  <c r="M33" i="19"/>
  <c r="J33" i="19"/>
  <c r="L32" i="19"/>
  <c r="N30" i="19"/>
  <c r="K30" i="19"/>
  <c r="M29" i="19"/>
  <c r="J29" i="19"/>
  <c r="L28" i="19"/>
  <c r="M26" i="19"/>
  <c r="J26" i="19"/>
  <c r="N20" i="19"/>
  <c r="K20" i="19"/>
  <c r="M19" i="19"/>
  <c r="J19" i="19"/>
  <c r="L18" i="19"/>
  <c r="N16" i="19"/>
  <c r="K16" i="19"/>
  <c r="M15" i="19"/>
  <c r="J15" i="19"/>
  <c r="E41" i="19"/>
  <c r="D39" i="19"/>
  <c r="C38" i="19"/>
  <c r="G35" i="19"/>
  <c r="F34" i="19"/>
  <c r="E33" i="19"/>
  <c r="D31" i="19"/>
  <c r="C30" i="19"/>
  <c r="G27" i="19"/>
  <c r="E26" i="19"/>
  <c r="N39" i="19"/>
  <c r="M38" i="19"/>
  <c r="L37" i="19"/>
  <c r="K35" i="19"/>
  <c r="J34" i="19"/>
  <c r="N31" i="19"/>
  <c r="M30" i="19"/>
  <c r="L29" i="19"/>
  <c r="K27" i="19"/>
  <c r="N21" i="19"/>
  <c r="M20" i="19"/>
  <c r="L19" i="19"/>
  <c r="K17" i="19"/>
  <c r="J16" i="19"/>
  <c r="N13" i="19"/>
  <c r="K13" i="19"/>
  <c r="M12" i="19"/>
  <c r="J12" i="19"/>
  <c r="L11" i="19"/>
  <c r="N9" i="19"/>
  <c r="K9" i="19"/>
  <c r="M8" i="19"/>
  <c r="J8" i="19"/>
  <c r="L7" i="19"/>
  <c r="N6" i="19"/>
  <c r="K6" i="19"/>
  <c r="E21" i="19"/>
  <c r="G20" i="19"/>
  <c r="D20" i="19"/>
  <c r="E19" i="19"/>
  <c r="G18" i="19"/>
  <c r="D18" i="19"/>
  <c r="E17" i="19"/>
  <c r="G16" i="19"/>
  <c r="D16" i="19"/>
  <c r="E15" i="19"/>
  <c r="G14" i="19"/>
  <c r="D14" i="19"/>
  <c r="E13" i="19"/>
  <c r="G12" i="19"/>
  <c r="D12" i="19"/>
  <c r="E11" i="19"/>
  <c r="G10" i="19"/>
  <c r="D10" i="19"/>
  <c r="E9" i="19"/>
  <c r="G8" i="19"/>
  <c r="D8" i="19"/>
  <c r="E7" i="19"/>
  <c r="G6" i="19"/>
  <c r="D6" i="19"/>
  <c r="D40" i="19"/>
  <c r="C39" i="19"/>
  <c r="G36" i="19"/>
  <c r="F35" i="19"/>
  <c r="E34" i="19"/>
  <c r="D32" i="19"/>
  <c r="C31" i="19"/>
  <c r="G28" i="19"/>
  <c r="F27" i="19"/>
  <c r="N40" i="19"/>
  <c r="M39" i="19"/>
  <c r="L38" i="19"/>
  <c r="K36" i="19"/>
  <c r="J35" i="19"/>
  <c r="N32" i="19"/>
  <c r="M31" i="19"/>
  <c r="L30" i="19"/>
  <c r="K28" i="19"/>
  <c r="J27" i="19"/>
  <c r="M21" i="19"/>
  <c r="L20" i="19"/>
  <c r="K18" i="19"/>
  <c r="J17" i="19"/>
  <c r="N14" i="19"/>
  <c r="K14" i="19"/>
  <c r="M13" i="19"/>
  <c r="J13" i="19"/>
  <c r="L12" i="19"/>
  <c r="N10" i="19"/>
  <c r="K10" i="19"/>
  <c r="M9" i="19"/>
  <c r="J9" i="19"/>
  <c r="L8" i="19"/>
  <c r="M6" i="19"/>
  <c r="J6" i="19"/>
  <c r="F20" i="19"/>
  <c r="C20" i="19"/>
  <c r="F18" i="19"/>
  <c r="C18" i="19"/>
  <c r="F16" i="19"/>
  <c r="C16" i="19"/>
  <c r="F14" i="19"/>
  <c r="C14" i="19"/>
  <c r="F12" i="19"/>
  <c r="C12" i="19"/>
  <c r="F10" i="19"/>
  <c r="C10" i="19"/>
  <c r="F8" i="19"/>
  <c r="C8" i="19"/>
  <c r="F6" i="19"/>
  <c r="C6" i="19"/>
  <c r="G40" i="19"/>
  <c r="E38" i="19"/>
  <c r="D36" i="19"/>
  <c r="F31" i="19"/>
  <c r="C27" i="19"/>
  <c r="K40" i="19"/>
  <c r="M35" i="19"/>
  <c r="J31" i="19"/>
  <c r="N28" i="19"/>
  <c r="M17" i="19"/>
  <c r="N12" i="19"/>
  <c r="M11" i="19"/>
  <c r="L10" i="19"/>
  <c r="K8" i="19"/>
  <c r="J7" i="19"/>
  <c r="F21" i="19"/>
  <c r="C19" i="19"/>
  <c r="F17" i="19"/>
  <c r="C15" i="19"/>
  <c r="F13" i="19"/>
  <c r="C11" i="19"/>
  <c r="F9" i="19"/>
  <c r="C7" i="19"/>
  <c r="N36" i="19"/>
  <c r="K32" i="19"/>
  <c r="M27" i="19"/>
  <c r="N18" i="19"/>
  <c r="L14" i="19"/>
  <c r="K12" i="19"/>
  <c r="M7" i="19"/>
  <c r="C21" i="19"/>
  <c r="F15" i="19"/>
  <c r="C13" i="19"/>
  <c r="F11" i="19"/>
  <c r="F7" i="19"/>
  <c r="E29" i="19"/>
  <c r="J38" i="19"/>
  <c r="L33" i="19"/>
  <c r="J20" i="19"/>
  <c r="N17" i="19"/>
  <c r="J14" i="19"/>
  <c r="N11" i="19"/>
  <c r="L9" i="19"/>
  <c r="G21" i="19"/>
  <c r="D19" i="19"/>
  <c r="G17" i="19"/>
  <c r="G13" i="19"/>
  <c r="D11" i="19"/>
  <c r="E8" i="19"/>
  <c r="D7" i="19"/>
  <c r="G39" i="19"/>
  <c r="E37" i="19"/>
  <c r="D35" i="19"/>
  <c r="F30" i="19"/>
  <c r="L41" i="19"/>
  <c r="K39" i="19"/>
  <c r="M34" i="19"/>
  <c r="J30" i="19"/>
  <c r="N27" i="19"/>
  <c r="K21" i="19"/>
  <c r="M16" i="19"/>
  <c r="M14" i="19"/>
  <c r="L13" i="19"/>
  <c r="K11" i="19"/>
  <c r="J10" i="19"/>
  <c r="N7" i="19"/>
  <c r="L6" i="19"/>
  <c r="D21" i="19"/>
  <c r="G19" i="19"/>
  <c r="E18" i="19"/>
  <c r="D17" i="19"/>
  <c r="G15" i="19"/>
  <c r="E14" i="19"/>
  <c r="D13" i="19"/>
  <c r="G11" i="19"/>
  <c r="E10" i="19"/>
  <c r="D9" i="19"/>
  <c r="G7" i="19"/>
  <c r="E6" i="19"/>
  <c r="F39" i="19"/>
  <c r="C35" i="19"/>
  <c r="G32" i="19"/>
  <c r="E30" i="19"/>
  <c r="D28" i="19"/>
  <c r="J39" i="19"/>
  <c r="L34" i="19"/>
  <c r="J21" i="19"/>
  <c r="L16" i="19"/>
  <c r="J11" i="19"/>
  <c r="N8" i="19"/>
  <c r="F19" i="19"/>
  <c r="C17" i="19"/>
  <c r="C9" i="19"/>
  <c r="F38" i="19"/>
  <c r="C34" i="19"/>
  <c r="G31" i="19"/>
  <c r="D27" i="19"/>
  <c r="N35" i="19"/>
  <c r="K31" i="19"/>
  <c r="L26" i="19"/>
  <c r="L15" i="19"/>
  <c r="M10" i="19"/>
  <c r="K7" i="19"/>
  <c r="E20" i="19"/>
  <c r="E16" i="19"/>
  <c r="D15" i="19"/>
  <c r="E12" i="19"/>
  <c r="G9" i="19"/>
  <c r="U12" i="19"/>
  <c r="U16" i="19"/>
  <c r="U20" i="19"/>
  <c r="V17" i="22"/>
  <c r="V21" i="22"/>
  <c r="V19" i="22"/>
  <c r="A24" i="17" l="1"/>
  <c r="T44" i="17" l="1"/>
  <c r="U43" i="17"/>
  <c r="V42" i="17"/>
  <c r="R42" i="17"/>
  <c r="S41" i="17"/>
  <c r="T40" i="17"/>
  <c r="U39" i="17"/>
  <c r="V38" i="17"/>
  <c r="R38" i="17"/>
  <c r="S37" i="17"/>
  <c r="T36" i="17"/>
  <c r="U35" i="17"/>
  <c r="V34" i="17"/>
  <c r="R34" i="17"/>
  <c r="S33" i="17"/>
  <c r="T32" i="17"/>
  <c r="U31" i="17"/>
  <c r="V30" i="17"/>
  <c r="R30" i="17"/>
  <c r="S29" i="17"/>
  <c r="L44" i="17"/>
  <c r="M43" i="17"/>
  <c r="N42" i="17"/>
  <c r="J42" i="17"/>
  <c r="K41" i="17"/>
  <c r="L40" i="17"/>
  <c r="M39" i="17"/>
  <c r="N38" i="17"/>
  <c r="J38" i="17"/>
  <c r="K37" i="17"/>
  <c r="L36" i="17"/>
  <c r="M35" i="17"/>
  <c r="N34" i="17"/>
  <c r="J34" i="17"/>
  <c r="K33" i="17"/>
  <c r="L32" i="17"/>
  <c r="M31" i="17"/>
  <c r="N30" i="17"/>
  <c r="J30" i="17"/>
  <c r="K29" i="17"/>
  <c r="D44" i="17"/>
  <c r="E43" i="17"/>
  <c r="F42" i="17"/>
  <c r="B42" i="17"/>
  <c r="C41" i="17"/>
  <c r="D40" i="17"/>
  <c r="E39" i="17"/>
  <c r="F38" i="17"/>
  <c r="B38" i="17"/>
  <c r="C37" i="17"/>
  <c r="D36" i="17"/>
  <c r="E35" i="17"/>
  <c r="F34" i="17"/>
  <c r="B34" i="17"/>
  <c r="C33" i="17"/>
  <c r="D32" i="17"/>
  <c r="E31" i="17"/>
  <c r="F30" i="17"/>
  <c r="B30" i="17"/>
  <c r="C29" i="17"/>
  <c r="U23" i="17"/>
  <c r="S44" i="17"/>
  <c r="T43" i="17"/>
  <c r="U42" i="17"/>
  <c r="V41" i="17"/>
  <c r="R41" i="17"/>
  <c r="S40" i="17"/>
  <c r="T39" i="17"/>
  <c r="U38" i="17"/>
  <c r="V37" i="17"/>
  <c r="R37" i="17"/>
  <c r="S36" i="17"/>
  <c r="T35" i="17"/>
  <c r="U34" i="17"/>
  <c r="V33" i="17"/>
  <c r="R33" i="17"/>
  <c r="S32" i="17"/>
  <c r="T31" i="17"/>
  <c r="U30" i="17"/>
  <c r="V29" i="17"/>
  <c r="R29" i="17"/>
  <c r="K44" i="17"/>
  <c r="L43" i="17"/>
  <c r="M42" i="17"/>
  <c r="N41" i="17"/>
  <c r="J41" i="17"/>
  <c r="K40" i="17"/>
  <c r="L39" i="17"/>
  <c r="M38" i="17"/>
  <c r="N37" i="17"/>
  <c r="J37" i="17"/>
  <c r="K36" i="17"/>
  <c r="L35" i="17"/>
  <c r="M34" i="17"/>
  <c r="N33" i="17"/>
  <c r="J33" i="17"/>
  <c r="K32" i="17"/>
  <c r="L31" i="17"/>
  <c r="M30" i="17"/>
  <c r="N29" i="17"/>
  <c r="J29" i="17"/>
  <c r="C44" i="17"/>
  <c r="D43" i="17"/>
  <c r="E42" i="17"/>
  <c r="F41" i="17"/>
  <c r="B41" i="17"/>
  <c r="C40" i="17"/>
  <c r="D39" i="17"/>
  <c r="E38" i="17"/>
  <c r="F37" i="17"/>
  <c r="B37" i="17"/>
  <c r="C36" i="17"/>
  <c r="D35" i="17"/>
  <c r="E34" i="17"/>
  <c r="F33" i="17"/>
  <c r="B33" i="17"/>
  <c r="C32" i="17"/>
  <c r="D31" i="17"/>
  <c r="E30" i="17"/>
  <c r="F29" i="17"/>
  <c r="B29" i="17"/>
  <c r="V44" i="17"/>
  <c r="R44" i="17"/>
  <c r="S43" i="17"/>
  <c r="T42" i="17"/>
  <c r="U41" i="17"/>
  <c r="V40" i="17"/>
  <c r="R40" i="17"/>
  <c r="S39" i="17"/>
  <c r="T38" i="17"/>
  <c r="U37" i="17"/>
  <c r="V36" i="17"/>
  <c r="R36" i="17"/>
  <c r="S35" i="17"/>
  <c r="T34" i="17"/>
  <c r="U33" i="17"/>
  <c r="V32" i="17"/>
  <c r="R32" i="17"/>
  <c r="S31" i="17"/>
  <c r="T30" i="17"/>
  <c r="U29" i="17"/>
  <c r="N44" i="17"/>
  <c r="J44" i="17"/>
  <c r="K43" i="17"/>
  <c r="L42" i="17"/>
  <c r="M41" i="17"/>
  <c r="N40" i="17"/>
  <c r="J40" i="17"/>
  <c r="K39" i="17"/>
  <c r="L38" i="17"/>
  <c r="M37" i="17"/>
  <c r="N36" i="17"/>
  <c r="J36" i="17"/>
  <c r="K35" i="17"/>
  <c r="L34" i="17"/>
  <c r="M33" i="17"/>
  <c r="N32" i="17"/>
  <c r="J32" i="17"/>
  <c r="K31" i="17"/>
  <c r="L30" i="17"/>
  <c r="M29" i="17"/>
  <c r="F44" i="17"/>
  <c r="B44" i="17"/>
  <c r="C43" i="17"/>
  <c r="D42" i="17"/>
  <c r="E41" i="17"/>
  <c r="F40" i="17"/>
  <c r="B40" i="17"/>
  <c r="C39" i="17"/>
  <c r="D38" i="17"/>
  <c r="E37" i="17"/>
  <c r="F36" i="17"/>
  <c r="B36" i="17"/>
  <c r="V43" i="17"/>
  <c r="U40" i="17"/>
  <c r="T37" i="17"/>
  <c r="S34" i="17"/>
  <c r="R31" i="17"/>
  <c r="N43" i="17"/>
  <c r="M40" i="17"/>
  <c r="L37" i="17"/>
  <c r="K34" i="17"/>
  <c r="J31" i="17"/>
  <c r="F43" i="17"/>
  <c r="E40" i="17"/>
  <c r="D37" i="17"/>
  <c r="B35" i="17"/>
  <c r="D33" i="17"/>
  <c r="F31" i="17"/>
  <c r="C30" i="17"/>
  <c r="V23" i="17"/>
  <c r="W22" i="17"/>
  <c r="S22" i="17"/>
  <c r="U21" i="17"/>
  <c r="W20" i="17"/>
  <c r="S20" i="17"/>
  <c r="U19" i="17"/>
  <c r="W18" i="17"/>
  <c r="S18" i="17"/>
  <c r="U17" i="17"/>
  <c r="W16" i="17"/>
  <c r="S16" i="17"/>
  <c r="U15" i="17"/>
  <c r="W14" i="17"/>
  <c r="S14" i="17"/>
  <c r="U13" i="17"/>
  <c r="W12" i="17"/>
  <c r="S12" i="17"/>
  <c r="U11" i="17"/>
  <c r="W10" i="17"/>
  <c r="S10" i="17"/>
  <c r="U9" i="17"/>
  <c r="W8" i="17"/>
  <c r="S8" i="17"/>
  <c r="M23" i="17"/>
  <c r="O22" i="17"/>
  <c r="K22" i="17"/>
  <c r="M21" i="17"/>
  <c r="O20" i="17"/>
  <c r="K20" i="17"/>
  <c r="M19" i="17"/>
  <c r="O18" i="17"/>
  <c r="K18" i="17"/>
  <c r="M17" i="17"/>
  <c r="O16" i="17"/>
  <c r="K16" i="17"/>
  <c r="M15" i="17"/>
  <c r="O14" i="17"/>
  <c r="K14" i="17"/>
  <c r="M13" i="17"/>
  <c r="O12" i="17"/>
  <c r="K12" i="17"/>
  <c r="M11" i="17"/>
  <c r="O10" i="17"/>
  <c r="K10" i="17"/>
  <c r="M9" i="17"/>
  <c r="O8" i="17"/>
  <c r="K8" i="17"/>
  <c r="E23" i="17"/>
  <c r="G22" i="17"/>
  <c r="C22" i="17"/>
  <c r="E21" i="17"/>
  <c r="G20" i="17"/>
  <c r="C20" i="17"/>
  <c r="E19" i="17"/>
  <c r="G18" i="17"/>
  <c r="C18" i="17"/>
  <c r="E17" i="17"/>
  <c r="G16" i="17"/>
  <c r="C16" i="17"/>
  <c r="E15" i="17"/>
  <c r="G14" i="17"/>
  <c r="C14" i="17"/>
  <c r="E13" i="17"/>
  <c r="G12" i="17"/>
  <c r="C12" i="17"/>
  <c r="E11" i="17"/>
  <c r="G10" i="17"/>
  <c r="C10" i="17"/>
  <c r="E9" i="17"/>
  <c r="G8" i="17"/>
  <c r="C8" i="17"/>
  <c r="R43" i="17"/>
  <c r="V39" i="17"/>
  <c r="U36" i="17"/>
  <c r="T33" i="17"/>
  <c r="S30" i="17"/>
  <c r="J43" i="17"/>
  <c r="N39" i="17"/>
  <c r="M36" i="17"/>
  <c r="L33" i="17"/>
  <c r="K30" i="17"/>
  <c r="B43" i="17"/>
  <c r="F39" i="17"/>
  <c r="E36" i="17"/>
  <c r="D34" i="17"/>
  <c r="F32" i="17"/>
  <c r="C31" i="17"/>
  <c r="E29" i="17"/>
  <c r="T23" i="17"/>
  <c r="V22" i="17"/>
  <c r="R22" i="17"/>
  <c r="T21" i="17"/>
  <c r="V20" i="17"/>
  <c r="R20" i="17"/>
  <c r="T19" i="17"/>
  <c r="V18" i="17"/>
  <c r="R18" i="17"/>
  <c r="T17" i="17"/>
  <c r="V16" i="17"/>
  <c r="R16" i="17"/>
  <c r="T15" i="17"/>
  <c r="V14" i="17"/>
  <c r="R14" i="17"/>
  <c r="T13" i="17"/>
  <c r="V12" i="17"/>
  <c r="R12" i="17"/>
  <c r="T11" i="17"/>
  <c r="V10" i="17"/>
  <c r="R10" i="17"/>
  <c r="T9" i="17"/>
  <c r="V8" i="17"/>
  <c r="R8" i="17"/>
  <c r="L23" i="17"/>
  <c r="N22" i="17"/>
  <c r="J22" i="17"/>
  <c r="L21" i="17"/>
  <c r="N20" i="17"/>
  <c r="J20" i="17"/>
  <c r="L19" i="17"/>
  <c r="N18" i="17"/>
  <c r="J18" i="17"/>
  <c r="L17" i="17"/>
  <c r="N16" i="17"/>
  <c r="J16" i="17"/>
  <c r="L15" i="17"/>
  <c r="N14" i="17"/>
  <c r="J14" i="17"/>
  <c r="L13" i="17"/>
  <c r="N12" i="17"/>
  <c r="J12" i="17"/>
  <c r="L11" i="17"/>
  <c r="N10" i="17"/>
  <c r="J10" i="17"/>
  <c r="L9" i="17"/>
  <c r="N8" i="17"/>
  <c r="J8" i="17"/>
  <c r="D23" i="17"/>
  <c r="F22" i="17"/>
  <c r="B22" i="17"/>
  <c r="D21" i="17"/>
  <c r="F20" i="17"/>
  <c r="B20" i="17"/>
  <c r="D19" i="17"/>
  <c r="F18" i="17"/>
  <c r="B18" i="17"/>
  <c r="D17" i="17"/>
  <c r="F16" i="17"/>
  <c r="B16" i="17"/>
  <c r="D15" i="17"/>
  <c r="F14" i="17"/>
  <c r="B14" i="17"/>
  <c r="D13" i="17"/>
  <c r="F12" i="17"/>
  <c r="B12" i="17"/>
  <c r="D11" i="17"/>
  <c r="F10" i="17"/>
  <c r="B10" i="17"/>
  <c r="D9" i="17"/>
  <c r="F8" i="17"/>
  <c r="B8" i="17"/>
  <c r="S42" i="17"/>
  <c r="R39" i="17"/>
  <c r="V35" i="17"/>
  <c r="U32" i="17"/>
  <c r="T29" i="17"/>
  <c r="K42" i="17"/>
  <c r="J39" i="17"/>
  <c r="N35" i="17"/>
  <c r="M32" i="17"/>
  <c r="L29" i="17"/>
  <c r="C42" i="17"/>
  <c r="B39" i="17"/>
  <c r="F35" i="17"/>
  <c r="C34" i="17"/>
  <c r="E32" i="17"/>
  <c r="B31" i="17"/>
  <c r="D29" i="17"/>
  <c r="S23" i="17"/>
  <c r="U22" i="17"/>
  <c r="W21" i="17"/>
  <c r="S21" i="17"/>
  <c r="U20" i="17"/>
  <c r="W19" i="17"/>
  <c r="S19" i="17"/>
  <c r="U18" i="17"/>
  <c r="W17" i="17"/>
  <c r="S17" i="17"/>
  <c r="U16" i="17"/>
  <c r="W15" i="17"/>
  <c r="S15" i="17"/>
  <c r="U14" i="17"/>
  <c r="W13" i="17"/>
  <c r="S13" i="17"/>
  <c r="U12" i="17"/>
  <c r="W11" i="17"/>
  <c r="S11" i="17"/>
  <c r="U10" i="17"/>
  <c r="W9" i="17"/>
  <c r="S9" i="17"/>
  <c r="U8" i="17"/>
  <c r="O23" i="17"/>
  <c r="K23" i="17"/>
  <c r="M22" i="17"/>
  <c r="O21" i="17"/>
  <c r="K21" i="17"/>
  <c r="M20" i="17"/>
  <c r="O19" i="17"/>
  <c r="K19" i="17"/>
  <c r="M18" i="17"/>
  <c r="O17" i="17"/>
  <c r="K17" i="17"/>
  <c r="M16" i="17"/>
  <c r="O15" i="17"/>
  <c r="K15" i="17"/>
  <c r="M14" i="17"/>
  <c r="O13" i="17"/>
  <c r="K13" i="17"/>
  <c r="M12" i="17"/>
  <c r="O11" i="17"/>
  <c r="K11" i="17"/>
  <c r="M10" i="17"/>
  <c r="O9" i="17"/>
  <c r="K9" i="17"/>
  <c r="M8" i="17"/>
  <c r="G23" i="17"/>
  <c r="C23" i="17"/>
  <c r="E22" i="17"/>
  <c r="G21" i="17"/>
  <c r="C21" i="17"/>
  <c r="E20" i="17"/>
  <c r="G19" i="17"/>
  <c r="C19" i="17"/>
  <c r="E18" i="17"/>
  <c r="G17" i="17"/>
  <c r="C17" i="17"/>
  <c r="E16" i="17"/>
  <c r="G15" i="17"/>
  <c r="C15" i="17"/>
  <c r="E14" i="17"/>
  <c r="G13" i="17"/>
  <c r="C13" i="17"/>
  <c r="E12" i="17"/>
  <c r="G11" i="17"/>
  <c r="C11" i="17"/>
  <c r="E10" i="17"/>
  <c r="G9" i="17"/>
  <c r="C9" i="17"/>
  <c r="E8" i="17"/>
  <c r="S38" i="17"/>
  <c r="L41" i="17"/>
  <c r="E44" i="17"/>
  <c r="E33" i="17"/>
  <c r="R23" i="17"/>
  <c r="T20" i="17"/>
  <c r="V17" i="17"/>
  <c r="R15" i="17"/>
  <c r="T12" i="17"/>
  <c r="V9" i="17"/>
  <c r="J23" i="17"/>
  <c r="L20" i="17"/>
  <c r="N17" i="17"/>
  <c r="J15" i="17"/>
  <c r="L12" i="17"/>
  <c r="N9" i="17"/>
  <c r="B23" i="17"/>
  <c r="D20" i="17"/>
  <c r="F17" i="17"/>
  <c r="B15" i="17"/>
  <c r="D12" i="17"/>
  <c r="F9" i="17"/>
  <c r="M44" i="17"/>
  <c r="W23" i="17"/>
  <c r="V15" i="17"/>
  <c r="J21" i="17"/>
  <c r="J13" i="17"/>
  <c r="B21" i="17"/>
  <c r="F15" i="17"/>
  <c r="R35" i="17"/>
  <c r="K38" i="17"/>
  <c r="D41" i="17"/>
  <c r="B32" i="17"/>
  <c r="T22" i="17"/>
  <c r="V19" i="17"/>
  <c r="R17" i="17"/>
  <c r="T14" i="17"/>
  <c r="V11" i="17"/>
  <c r="R9" i="17"/>
  <c r="L22" i="17"/>
  <c r="N19" i="17"/>
  <c r="J17" i="17"/>
  <c r="L14" i="17"/>
  <c r="N11" i="17"/>
  <c r="J9" i="17"/>
  <c r="D22" i="17"/>
  <c r="F19" i="17"/>
  <c r="B17" i="17"/>
  <c r="D14" i="17"/>
  <c r="F11" i="17"/>
  <c r="B9" i="17"/>
  <c r="N31" i="17"/>
  <c r="R21" i="17"/>
  <c r="R13" i="17"/>
  <c r="N23" i="17"/>
  <c r="N15" i="17"/>
  <c r="F23" i="17"/>
  <c r="B13" i="17"/>
  <c r="U44" i="17"/>
  <c r="V31" i="17"/>
  <c r="J35" i="17"/>
  <c r="C38" i="17"/>
  <c r="D30" i="17"/>
  <c r="V21" i="17"/>
  <c r="R19" i="17"/>
  <c r="T16" i="17"/>
  <c r="V13" i="17"/>
  <c r="R11" i="17"/>
  <c r="T8" i="17"/>
  <c r="N21" i="17"/>
  <c r="J19" i="17"/>
  <c r="L16" i="17"/>
  <c r="N13" i="17"/>
  <c r="J11" i="17"/>
  <c r="L8" i="17"/>
  <c r="F21" i="17"/>
  <c r="B19" i="17"/>
  <c r="D16" i="17"/>
  <c r="F13" i="17"/>
  <c r="B11" i="17"/>
  <c r="D8" i="17"/>
  <c r="T41" i="17"/>
  <c r="C35" i="17"/>
  <c r="T18" i="17"/>
  <c r="T10" i="17"/>
  <c r="L18" i="17"/>
  <c r="L10" i="17"/>
  <c r="D18" i="17"/>
  <c r="D10" i="17"/>
  <c r="P47" i="23"/>
  <c r="B24" i="23"/>
  <c r="Q47" i="17"/>
  <c r="B24" i="17"/>
  <c r="A6" i="12" l="1"/>
  <c r="A6" i="14"/>
  <c r="J60" i="14" l="1"/>
  <c r="I59" i="14"/>
  <c r="H58" i="14"/>
  <c r="J56" i="14"/>
  <c r="I55" i="14"/>
  <c r="H54" i="14"/>
  <c r="J52" i="14"/>
  <c r="I51" i="14"/>
  <c r="B60" i="14"/>
  <c r="D58" i="14"/>
  <c r="C57" i="14"/>
  <c r="B56" i="14"/>
  <c r="D54" i="14"/>
  <c r="C53" i="14"/>
  <c r="B52" i="14"/>
  <c r="J47" i="14"/>
  <c r="I46" i="14"/>
  <c r="H45" i="14"/>
  <c r="J43" i="14"/>
  <c r="I42" i="14"/>
  <c r="H41" i="14"/>
  <c r="J39" i="14"/>
  <c r="I38" i="14"/>
  <c r="B47" i="14"/>
  <c r="D45" i="14"/>
  <c r="C44" i="14"/>
  <c r="B43" i="14"/>
  <c r="D41" i="14"/>
  <c r="C40" i="14"/>
  <c r="B39" i="14"/>
  <c r="K33" i="14"/>
  <c r="K32" i="14"/>
  <c r="K31" i="14"/>
  <c r="K30" i="14"/>
  <c r="K29" i="14"/>
  <c r="K28" i="14"/>
  <c r="K27" i="14"/>
  <c r="K26" i="14"/>
  <c r="K25" i="14"/>
  <c r="K24" i="14"/>
  <c r="K23" i="14"/>
  <c r="E33" i="14"/>
  <c r="E32" i="14"/>
  <c r="E31" i="14"/>
  <c r="E30" i="14"/>
  <c r="E29" i="14"/>
  <c r="E28" i="14"/>
  <c r="E27" i="14"/>
  <c r="E26" i="14"/>
  <c r="E25" i="14"/>
  <c r="E24" i="14"/>
  <c r="E23" i="14"/>
  <c r="K19" i="14"/>
  <c r="K18" i="14"/>
  <c r="K17" i="14"/>
  <c r="K16" i="14"/>
  <c r="K15" i="14"/>
  <c r="K14" i="14"/>
  <c r="K13" i="14"/>
  <c r="K12" i="14"/>
  <c r="K11" i="14"/>
  <c r="K10" i="14"/>
  <c r="K9" i="14"/>
  <c r="E19" i="14"/>
  <c r="E18" i="14"/>
  <c r="E17" i="14"/>
  <c r="E16" i="14"/>
  <c r="E15" i="14"/>
  <c r="E14" i="14"/>
  <c r="E13" i="14"/>
  <c r="E12" i="14"/>
  <c r="E11" i="14"/>
  <c r="E10" i="14"/>
  <c r="E9" i="14"/>
  <c r="I60" i="14"/>
  <c r="H59" i="14"/>
  <c r="J57" i="14"/>
  <c r="I56" i="14"/>
  <c r="H55" i="14"/>
  <c r="J53" i="14"/>
  <c r="I52" i="14"/>
  <c r="H51" i="14"/>
  <c r="D59" i="14"/>
  <c r="C58" i="14"/>
  <c r="B57" i="14"/>
  <c r="D55" i="14"/>
  <c r="C54" i="14"/>
  <c r="B53" i="14"/>
  <c r="D51" i="14"/>
  <c r="I47" i="14"/>
  <c r="H46" i="14"/>
  <c r="J44" i="14"/>
  <c r="I43" i="14"/>
  <c r="H42" i="14"/>
  <c r="J40" i="14"/>
  <c r="I39" i="14"/>
  <c r="H38" i="14"/>
  <c r="D46" i="14"/>
  <c r="C45" i="14"/>
  <c r="B44" i="14"/>
  <c r="D42" i="14"/>
  <c r="C41" i="14"/>
  <c r="B40" i="14"/>
  <c r="D38" i="14"/>
  <c r="J33" i="14"/>
  <c r="J32" i="14"/>
  <c r="J31" i="14"/>
  <c r="J30" i="14"/>
  <c r="J29" i="14"/>
  <c r="J28" i="14"/>
  <c r="J27" i="14"/>
  <c r="J26" i="14"/>
  <c r="J25" i="14"/>
  <c r="J24" i="14"/>
  <c r="J23" i="14"/>
  <c r="D33" i="14"/>
  <c r="D32" i="14"/>
  <c r="D31" i="14"/>
  <c r="D30" i="14"/>
  <c r="D29" i="14"/>
  <c r="D28" i="14"/>
  <c r="D27" i="14"/>
  <c r="D26" i="14"/>
  <c r="D25" i="14"/>
  <c r="D24" i="14"/>
  <c r="D23" i="14"/>
  <c r="J19" i="14"/>
  <c r="J18" i="14"/>
  <c r="J17" i="14"/>
  <c r="J16" i="14"/>
  <c r="J15" i="14"/>
  <c r="J14" i="14"/>
  <c r="J13" i="14"/>
  <c r="J12" i="14"/>
  <c r="J11" i="14"/>
  <c r="J10" i="14"/>
  <c r="J9" i="14"/>
  <c r="D19" i="14"/>
  <c r="D18" i="14"/>
  <c r="D17" i="14"/>
  <c r="D16" i="14"/>
  <c r="D15" i="14"/>
  <c r="D14" i="14"/>
  <c r="D13" i="14"/>
  <c r="D12" i="14"/>
  <c r="D11" i="14"/>
  <c r="D10" i="14"/>
  <c r="D9" i="14"/>
  <c r="J58" i="14"/>
  <c r="H56" i="14"/>
  <c r="I53" i="14"/>
  <c r="D60" i="14"/>
  <c r="B58" i="14"/>
  <c r="C55" i="14"/>
  <c r="D52" i="14"/>
  <c r="H47" i="14"/>
  <c r="I44" i="14"/>
  <c r="J41" i="14"/>
  <c r="H39" i="14"/>
  <c r="C46" i="14"/>
  <c r="D43" i="14"/>
  <c r="B41" i="14"/>
  <c r="C38" i="14"/>
  <c r="I32" i="14"/>
  <c r="I30" i="14"/>
  <c r="I28" i="14"/>
  <c r="I26" i="14"/>
  <c r="I24" i="14"/>
  <c r="C33" i="14"/>
  <c r="C31" i="14"/>
  <c r="C29" i="14"/>
  <c r="C27" i="14"/>
  <c r="C25" i="14"/>
  <c r="C23" i="14"/>
  <c r="I18" i="14"/>
  <c r="I16" i="14"/>
  <c r="I14" i="14"/>
  <c r="I12" i="14"/>
  <c r="I10" i="14"/>
  <c r="C19" i="14"/>
  <c r="C17" i="14"/>
  <c r="C15" i="14"/>
  <c r="C13" i="14"/>
  <c r="C11" i="14"/>
  <c r="C9" i="14"/>
  <c r="H60" i="14"/>
  <c r="J54" i="14"/>
  <c r="C59" i="14"/>
  <c r="B54" i="14"/>
  <c r="C51" i="14"/>
  <c r="H43" i="14"/>
  <c r="D47" i="14"/>
  <c r="C42" i="14"/>
  <c r="I33" i="14"/>
  <c r="I29" i="14"/>
  <c r="I25" i="14"/>
  <c r="C30" i="14"/>
  <c r="C26" i="14"/>
  <c r="I19" i="14"/>
  <c r="I17" i="14"/>
  <c r="I13" i="14"/>
  <c r="I9" i="14"/>
  <c r="C16" i="14"/>
  <c r="C12" i="14"/>
  <c r="I58" i="14"/>
  <c r="J55" i="14"/>
  <c r="H53" i="14"/>
  <c r="C60" i="14"/>
  <c r="D57" i="14"/>
  <c r="B55" i="14"/>
  <c r="C52" i="14"/>
  <c r="J46" i="14"/>
  <c r="H44" i="14"/>
  <c r="I41" i="14"/>
  <c r="J38" i="14"/>
  <c r="B46" i="14"/>
  <c r="C43" i="14"/>
  <c r="D40" i="14"/>
  <c r="B38" i="14"/>
  <c r="H32" i="14"/>
  <c r="H30" i="14"/>
  <c r="H28" i="14"/>
  <c r="H26" i="14"/>
  <c r="H24" i="14"/>
  <c r="B33" i="14"/>
  <c r="B31" i="14"/>
  <c r="B29" i="14"/>
  <c r="B27" i="14"/>
  <c r="B25" i="14"/>
  <c r="B23" i="14"/>
  <c r="H18" i="14"/>
  <c r="H16" i="14"/>
  <c r="H14" i="14"/>
  <c r="H12" i="14"/>
  <c r="H10" i="14"/>
  <c r="B19" i="14"/>
  <c r="B17" i="14"/>
  <c r="B15" i="14"/>
  <c r="B13" i="14"/>
  <c r="B11" i="14"/>
  <c r="B9" i="14"/>
  <c r="I57" i="14"/>
  <c r="H52" i="14"/>
  <c r="D56" i="14"/>
  <c r="J45" i="14"/>
  <c r="I40" i="14"/>
  <c r="B45" i="14"/>
  <c r="D39" i="14"/>
  <c r="I31" i="14"/>
  <c r="I27" i="14"/>
  <c r="I23" i="14"/>
  <c r="C32" i="14"/>
  <c r="C28" i="14"/>
  <c r="C24" i="14"/>
  <c r="I15" i="14"/>
  <c r="I11" i="14"/>
  <c r="C18" i="14"/>
  <c r="C14" i="14"/>
  <c r="C10" i="14"/>
  <c r="H57" i="14"/>
  <c r="C56" i="14"/>
  <c r="J42" i="14"/>
  <c r="B42" i="14"/>
  <c r="H29" i="14"/>
  <c r="B32" i="14"/>
  <c r="B24" i="14"/>
  <c r="H13" i="14"/>
  <c r="B16" i="14"/>
  <c r="H33" i="14"/>
  <c r="H17" i="14"/>
  <c r="B12" i="14"/>
  <c r="B59" i="14"/>
  <c r="D44" i="14"/>
  <c r="H23" i="14"/>
  <c r="H15" i="14"/>
  <c r="B10" i="14"/>
  <c r="I54" i="14"/>
  <c r="D53" i="14"/>
  <c r="H40" i="14"/>
  <c r="C39" i="14"/>
  <c r="H27" i="14"/>
  <c r="B30" i="14"/>
  <c r="H19" i="14"/>
  <c r="H11" i="14"/>
  <c r="B14" i="14"/>
  <c r="J51" i="14"/>
  <c r="B51" i="14"/>
  <c r="C47" i="14"/>
  <c r="H25" i="14"/>
  <c r="B28" i="14"/>
  <c r="H9" i="14"/>
  <c r="J59" i="14"/>
  <c r="I45" i="14"/>
  <c r="H31" i="14"/>
  <c r="B26" i="14"/>
  <c r="B18" i="14"/>
  <c r="E91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C30" i="12"/>
  <c r="C28" i="12"/>
  <c r="C26" i="12"/>
  <c r="C24" i="12"/>
  <c r="C22" i="12"/>
  <c r="C20" i="12"/>
  <c r="C18" i="12"/>
  <c r="C16" i="12"/>
  <c r="C14" i="12"/>
  <c r="C12" i="12"/>
  <c r="C10" i="12"/>
  <c r="B16" i="12"/>
  <c r="B12" i="12"/>
  <c r="E95" i="12"/>
  <c r="K96" i="12"/>
  <c r="K94" i="12"/>
  <c r="K92" i="12"/>
  <c r="K90" i="12"/>
  <c r="K88" i="12"/>
  <c r="K86" i="12"/>
  <c r="K84" i="12"/>
  <c r="K78" i="12"/>
  <c r="K76" i="12"/>
  <c r="K74" i="12"/>
  <c r="K72" i="12"/>
  <c r="K70" i="12"/>
  <c r="K68" i="12"/>
  <c r="K66" i="12"/>
  <c r="K64" i="12"/>
  <c r="K62" i="12"/>
  <c r="E96" i="12"/>
  <c r="E89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B30" i="12"/>
  <c r="B28" i="12"/>
  <c r="B26" i="12"/>
  <c r="B24" i="12"/>
  <c r="B22" i="12"/>
  <c r="B20" i="12"/>
  <c r="B18" i="12"/>
  <c r="B14" i="12"/>
  <c r="B10" i="12"/>
  <c r="K97" i="12"/>
  <c r="K95" i="12"/>
  <c r="K93" i="12"/>
  <c r="K91" i="12"/>
  <c r="K89" i="12"/>
  <c r="K87" i="12"/>
  <c r="K85" i="12"/>
  <c r="K79" i="12"/>
  <c r="K77" i="12"/>
  <c r="K75" i="12"/>
  <c r="K73" i="12"/>
  <c r="K71" i="12"/>
  <c r="K69" i="12"/>
  <c r="K67" i="12"/>
  <c r="K65" i="12"/>
  <c r="K63" i="12"/>
  <c r="E84" i="12"/>
  <c r="J96" i="12"/>
  <c r="J92" i="12"/>
  <c r="J88" i="12"/>
  <c r="J84" i="12"/>
  <c r="J76" i="12"/>
  <c r="J72" i="12"/>
  <c r="J68" i="12"/>
  <c r="J64" i="12"/>
  <c r="E83" i="12"/>
  <c r="E81" i="12"/>
  <c r="E79" i="12"/>
  <c r="E77" i="12"/>
  <c r="E75" i="12"/>
  <c r="E73" i="12"/>
  <c r="E71" i="12"/>
  <c r="E69" i="12"/>
  <c r="E67" i="12"/>
  <c r="E65" i="12"/>
  <c r="E63" i="12"/>
  <c r="K58" i="12"/>
  <c r="K56" i="12"/>
  <c r="K54" i="12"/>
  <c r="K52" i="12"/>
  <c r="K50" i="12"/>
  <c r="K48" i="12"/>
  <c r="K46" i="12"/>
  <c r="K44" i="12"/>
  <c r="K42" i="12"/>
  <c r="K40" i="12"/>
  <c r="K38" i="12"/>
  <c r="K36" i="12"/>
  <c r="E57" i="12"/>
  <c r="E55" i="12"/>
  <c r="E53" i="12"/>
  <c r="E51" i="12"/>
  <c r="E49" i="12"/>
  <c r="E47" i="12"/>
  <c r="E45" i="12"/>
  <c r="E43" i="12"/>
  <c r="E41" i="12"/>
  <c r="E39" i="12"/>
  <c r="E37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C29" i="12"/>
  <c r="C25" i="12"/>
  <c r="C21" i="12"/>
  <c r="C17" i="12"/>
  <c r="C13" i="12"/>
  <c r="C9" i="12"/>
  <c r="J94" i="12"/>
  <c r="J86" i="12"/>
  <c r="J74" i="12"/>
  <c r="J66" i="12"/>
  <c r="E82" i="12"/>
  <c r="E78" i="12"/>
  <c r="E74" i="12"/>
  <c r="E70" i="12"/>
  <c r="E66" i="12"/>
  <c r="E62" i="12"/>
  <c r="K55" i="12"/>
  <c r="K51" i="12"/>
  <c r="K47" i="12"/>
  <c r="K43" i="12"/>
  <c r="K39" i="12"/>
  <c r="E58" i="12"/>
  <c r="E54" i="12"/>
  <c r="E50" i="12"/>
  <c r="E46" i="12"/>
  <c r="E42" i="12"/>
  <c r="E38" i="12"/>
  <c r="K30" i="12"/>
  <c r="K26" i="12"/>
  <c r="K22" i="12"/>
  <c r="K18" i="12"/>
  <c r="K16" i="12"/>
  <c r="K12" i="12"/>
  <c r="C31" i="12"/>
  <c r="C23" i="12"/>
  <c r="C15" i="12"/>
  <c r="J93" i="12"/>
  <c r="J85" i="12"/>
  <c r="J73" i="12"/>
  <c r="J65" i="12"/>
  <c r="D82" i="12"/>
  <c r="D78" i="12"/>
  <c r="D74" i="12"/>
  <c r="D70" i="12"/>
  <c r="D66" i="12"/>
  <c r="D62" i="12"/>
  <c r="J55" i="12"/>
  <c r="J51" i="12"/>
  <c r="J47" i="12"/>
  <c r="J43" i="12"/>
  <c r="J39" i="12"/>
  <c r="D58" i="12"/>
  <c r="D54" i="12"/>
  <c r="D50" i="12"/>
  <c r="D46" i="12"/>
  <c r="D42" i="12"/>
  <c r="D38" i="12"/>
  <c r="J30" i="12"/>
  <c r="J26" i="12"/>
  <c r="J20" i="12"/>
  <c r="J16" i="12"/>
  <c r="J12" i="12"/>
  <c r="B31" i="12"/>
  <c r="B23" i="12"/>
  <c r="B15" i="12"/>
  <c r="J95" i="12"/>
  <c r="J91" i="12"/>
  <c r="J87" i="12"/>
  <c r="J79" i="12"/>
  <c r="J75" i="12"/>
  <c r="J71" i="12"/>
  <c r="J67" i="12"/>
  <c r="J63" i="12"/>
  <c r="D83" i="12"/>
  <c r="D81" i="12"/>
  <c r="D79" i="12"/>
  <c r="D77" i="12"/>
  <c r="D75" i="12"/>
  <c r="D73" i="12"/>
  <c r="D71" i="12"/>
  <c r="D69" i="12"/>
  <c r="D67" i="12"/>
  <c r="D65" i="12"/>
  <c r="D63" i="12"/>
  <c r="J58" i="12"/>
  <c r="J56" i="12"/>
  <c r="J54" i="12"/>
  <c r="J52" i="12"/>
  <c r="J50" i="12"/>
  <c r="J48" i="12"/>
  <c r="J46" i="12"/>
  <c r="J44" i="12"/>
  <c r="J42" i="12"/>
  <c r="J40" i="12"/>
  <c r="J38" i="12"/>
  <c r="J36" i="12"/>
  <c r="D57" i="12"/>
  <c r="D55" i="12"/>
  <c r="D53" i="12"/>
  <c r="D51" i="12"/>
  <c r="D49" i="12"/>
  <c r="D47" i="12"/>
  <c r="D45" i="12"/>
  <c r="D43" i="12"/>
  <c r="D41" i="12"/>
  <c r="D39" i="12"/>
  <c r="D37" i="12"/>
  <c r="J31" i="12"/>
  <c r="J29" i="12"/>
  <c r="J27" i="12"/>
  <c r="J25" i="12"/>
  <c r="J23" i="12"/>
  <c r="J21" i="12"/>
  <c r="J19" i="12"/>
  <c r="J17" i="12"/>
  <c r="J15" i="12"/>
  <c r="J13" i="12"/>
  <c r="J11" i="12"/>
  <c r="J9" i="12"/>
  <c r="B29" i="12"/>
  <c r="B25" i="12"/>
  <c r="B21" i="12"/>
  <c r="B17" i="12"/>
  <c r="B13" i="12"/>
  <c r="B9" i="12"/>
  <c r="E92" i="12"/>
  <c r="J90" i="12"/>
  <c r="J78" i="12"/>
  <c r="J70" i="12"/>
  <c r="J62" i="12"/>
  <c r="E80" i="12"/>
  <c r="E76" i="12"/>
  <c r="E72" i="12"/>
  <c r="E68" i="12"/>
  <c r="E64" i="12"/>
  <c r="K57" i="12"/>
  <c r="K53" i="12"/>
  <c r="K49" i="12"/>
  <c r="K45" i="12"/>
  <c r="K41" i="12"/>
  <c r="K37" i="12"/>
  <c r="E56" i="12"/>
  <c r="E52" i="12"/>
  <c r="E48" i="12"/>
  <c r="E44" i="12"/>
  <c r="E40" i="12"/>
  <c r="E36" i="12"/>
  <c r="K28" i="12"/>
  <c r="K24" i="12"/>
  <c r="K20" i="12"/>
  <c r="K14" i="12"/>
  <c r="K10" i="12"/>
  <c r="C27" i="12"/>
  <c r="C19" i="12"/>
  <c r="C11" i="12"/>
  <c r="J97" i="12"/>
  <c r="J89" i="12"/>
  <c r="J77" i="12"/>
  <c r="J69" i="12"/>
  <c r="D84" i="12"/>
  <c r="D80" i="12"/>
  <c r="D76" i="12"/>
  <c r="D72" i="12"/>
  <c r="D68" i="12"/>
  <c r="D64" i="12"/>
  <c r="J57" i="12"/>
  <c r="J53" i="12"/>
  <c r="J49" i="12"/>
  <c r="J45" i="12"/>
  <c r="J41" i="12"/>
  <c r="J37" i="12"/>
  <c r="D56" i="12"/>
  <c r="D52" i="12"/>
  <c r="D48" i="12"/>
  <c r="D44" i="12"/>
  <c r="D40" i="12"/>
  <c r="D36" i="12"/>
  <c r="J28" i="12"/>
  <c r="J24" i="12"/>
  <c r="J22" i="12"/>
  <c r="J18" i="12"/>
  <c r="J14" i="12"/>
  <c r="J10" i="12"/>
  <c r="B27" i="12"/>
  <c r="B19" i="12"/>
  <c r="B11" i="12"/>
  <c r="E93" i="12"/>
  <c r="D63" i="14"/>
  <c r="A33" i="12"/>
  <c r="A6" i="13"/>
  <c r="A32" i="13"/>
  <c r="J78" i="13" l="1"/>
  <c r="I77" i="13"/>
  <c r="H76" i="13"/>
  <c r="J74" i="13"/>
  <c r="I73" i="13"/>
  <c r="H72" i="13"/>
  <c r="J70" i="13"/>
  <c r="I69" i="13"/>
  <c r="H68" i="13"/>
  <c r="J66" i="13"/>
  <c r="I65" i="13"/>
  <c r="H64" i="13"/>
  <c r="J62" i="13"/>
  <c r="I61" i="13"/>
  <c r="B83" i="13"/>
  <c r="D81" i="13"/>
  <c r="C80" i="13"/>
  <c r="B79" i="13"/>
  <c r="D77" i="13"/>
  <c r="C76" i="13"/>
  <c r="B75" i="13"/>
  <c r="D73" i="13"/>
  <c r="C72" i="13"/>
  <c r="B71" i="13"/>
  <c r="D69" i="13"/>
  <c r="C68" i="13"/>
  <c r="B67" i="13"/>
  <c r="D65" i="13"/>
  <c r="C64" i="13"/>
  <c r="B63" i="13"/>
  <c r="D61" i="13"/>
  <c r="I57" i="13"/>
  <c r="H56" i="13"/>
  <c r="J54" i="13"/>
  <c r="I53" i="13"/>
  <c r="H52" i="13"/>
  <c r="J50" i="13"/>
  <c r="I49" i="13"/>
  <c r="H48" i="13"/>
  <c r="J46" i="13"/>
  <c r="I45" i="13"/>
  <c r="H44" i="13"/>
  <c r="J42" i="13"/>
  <c r="I41" i="13"/>
  <c r="H40" i="13"/>
  <c r="J38" i="13"/>
  <c r="I37" i="13"/>
  <c r="H36" i="13"/>
  <c r="D57" i="13"/>
  <c r="C56" i="13"/>
  <c r="B55" i="13"/>
  <c r="D53" i="13"/>
  <c r="C52" i="13"/>
  <c r="B51" i="13"/>
  <c r="D49" i="13"/>
  <c r="C48" i="13"/>
  <c r="B47" i="13"/>
  <c r="D45" i="13"/>
  <c r="C44" i="13"/>
  <c r="B43" i="13"/>
  <c r="D41" i="13"/>
  <c r="I78" i="13"/>
  <c r="H77" i="13"/>
  <c r="J75" i="13"/>
  <c r="I74" i="13"/>
  <c r="H73" i="13"/>
  <c r="J71" i="13"/>
  <c r="I70" i="13"/>
  <c r="H69" i="13"/>
  <c r="J67" i="13"/>
  <c r="I66" i="13"/>
  <c r="H65" i="13"/>
  <c r="J63" i="13"/>
  <c r="I62" i="13"/>
  <c r="H61" i="13"/>
  <c r="D82" i="13"/>
  <c r="C81" i="13"/>
  <c r="B80" i="13"/>
  <c r="D78" i="13"/>
  <c r="C77" i="13"/>
  <c r="B76" i="13"/>
  <c r="D74" i="13"/>
  <c r="C73" i="13"/>
  <c r="B72" i="13"/>
  <c r="D70" i="13"/>
  <c r="C69" i="13"/>
  <c r="B68" i="13"/>
  <c r="D66" i="13"/>
  <c r="C65" i="13"/>
  <c r="B64" i="13"/>
  <c r="D62" i="13"/>
  <c r="C61" i="13"/>
  <c r="H57" i="13"/>
  <c r="J55" i="13"/>
  <c r="I54" i="13"/>
  <c r="H53" i="13"/>
  <c r="J51" i="13"/>
  <c r="I50" i="13"/>
  <c r="H49" i="13"/>
  <c r="J47" i="13"/>
  <c r="I46" i="13"/>
  <c r="H45" i="13"/>
  <c r="J43" i="13"/>
  <c r="I42" i="13"/>
  <c r="H41" i="13"/>
  <c r="J39" i="13"/>
  <c r="I38" i="13"/>
  <c r="H37" i="13"/>
  <c r="J35" i="13"/>
  <c r="C57" i="13"/>
  <c r="B56" i="13"/>
  <c r="D54" i="13"/>
  <c r="C53" i="13"/>
  <c r="B52" i="13"/>
  <c r="D50" i="13"/>
  <c r="C49" i="13"/>
  <c r="B48" i="13"/>
  <c r="D46" i="13"/>
  <c r="J76" i="13"/>
  <c r="H74" i="13"/>
  <c r="I71" i="13"/>
  <c r="J68" i="13"/>
  <c r="H66" i="13"/>
  <c r="I63" i="13"/>
  <c r="D83" i="13"/>
  <c r="B81" i="13"/>
  <c r="C78" i="13"/>
  <c r="D75" i="13"/>
  <c r="B73" i="13"/>
  <c r="C70" i="13"/>
  <c r="D67" i="13"/>
  <c r="B65" i="13"/>
  <c r="C62" i="13"/>
  <c r="J56" i="13"/>
  <c r="H54" i="13"/>
  <c r="I51" i="13"/>
  <c r="J48" i="13"/>
  <c r="H46" i="13"/>
  <c r="I43" i="13"/>
  <c r="J40" i="13"/>
  <c r="H38" i="13"/>
  <c r="I35" i="13"/>
  <c r="D55" i="13"/>
  <c r="B53" i="13"/>
  <c r="C50" i="13"/>
  <c r="D47" i="13"/>
  <c r="C45" i="13"/>
  <c r="D43" i="13"/>
  <c r="B42" i="13"/>
  <c r="C40" i="13"/>
  <c r="B39" i="13"/>
  <c r="D37" i="13"/>
  <c r="C36" i="13"/>
  <c r="B35" i="13"/>
  <c r="J30" i="13"/>
  <c r="I29" i="13"/>
  <c r="H28" i="13"/>
  <c r="J26" i="13"/>
  <c r="I25" i="13"/>
  <c r="H24" i="13"/>
  <c r="J22" i="13"/>
  <c r="I21" i="13"/>
  <c r="H20" i="13"/>
  <c r="J18" i="13"/>
  <c r="I17" i="13"/>
  <c r="H16" i="13"/>
  <c r="J14" i="13"/>
  <c r="I13" i="13"/>
  <c r="H12" i="13"/>
  <c r="J10" i="13"/>
  <c r="I9" i="13"/>
  <c r="C30" i="13"/>
  <c r="C28" i="13"/>
  <c r="C26" i="13"/>
  <c r="C24" i="13"/>
  <c r="C22" i="13"/>
  <c r="C20" i="13"/>
  <c r="C18" i="13"/>
  <c r="C16" i="13"/>
  <c r="C14" i="13"/>
  <c r="C12" i="13"/>
  <c r="C10" i="13"/>
  <c r="J89" i="13"/>
  <c r="J82" i="13"/>
  <c r="H78" i="13"/>
  <c r="J72" i="13"/>
  <c r="I67" i="13"/>
  <c r="H62" i="13"/>
  <c r="D79" i="13"/>
  <c r="C74" i="13"/>
  <c r="B69" i="13"/>
  <c r="D63" i="13"/>
  <c r="I55" i="13"/>
  <c r="H50" i="13"/>
  <c r="J44" i="13"/>
  <c r="I39" i="13"/>
  <c r="B57" i="13"/>
  <c r="D51" i="13"/>
  <c r="C46" i="13"/>
  <c r="D42" i="13"/>
  <c r="D39" i="13"/>
  <c r="B37" i="13"/>
  <c r="I31" i="13"/>
  <c r="J28" i="13"/>
  <c r="H26" i="13"/>
  <c r="I23" i="13"/>
  <c r="J20" i="13"/>
  <c r="H18" i="13"/>
  <c r="I15" i="13"/>
  <c r="J12" i="13"/>
  <c r="H10" i="13"/>
  <c r="C29" i="13"/>
  <c r="C25" i="13"/>
  <c r="C21" i="13"/>
  <c r="C17" i="13"/>
  <c r="C13" i="13"/>
  <c r="C9" i="13"/>
  <c r="I76" i="13"/>
  <c r="J73" i="13"/>
  <c r="H71" i="13"/>
  <c r="I68" i="13"/>
  <c r="J65" i="13"/>
  <c r="H63" i="13"/>
  <c r="C83" i="13"/>
  <c r="D80" i="13"/>
  <c r="B78" i="13"/>
  <c r="C75" i="13"/>
  <c r="D72" i="13"/>
  <c r="B70" i="13"/>
  <c r="C67" i="13"/>
  <c r="D64" i="13"/>
  <c r="B62" i="13"/>
  <c r="I56" i="13"/>
  <c r="J53" i="13"/>
  <c r="H51" i="13"/>
  <c r="I48" i="13"/>
  <c r="J45" i="13"/>
  <c r="H43" i="13"/>
  <c r="I40" i="13"/>
  <c r="J37" i="13"/>
  <c r="H35" i="13"/>
  <c r="C55" i="13"/>
  <c r="D52" i="13"/>
  <c r="B50" i="13"/>
  <c r="C47" i="13"/>
  <c r="B45" i="13"/>
  <c r="C43" i="13"/>
  <c r="C41" i="13"/>
  <c r="B40" i="13"/>
  <c r="D38" i="13"/>
  <c r="C37" i="13"/>
  <c r="B36" i="13"/>
  <c r="J31" i="13"/>
  <c r="I30" i="13"/>
  <c r="H29" i="13"/>
  <c r="J27" i="13"/>
  <c r="I26" i="13"/>
  <c r="H25" i="13"/>
  <c r="J23" i="13"/>
  <c r="I22" i="13"/>
  <c r="H21" i="13"/>
  <c r="J19" i="13"/>
  <c r="I18" i="13"/>
  <c r="H17" i="13"/>
  <c r="J15" i="13"/>
  <c r="I14" i="13"/>
  <c r="H13" i="13"/>
  <c r="J11" i="13"/>
  <c r="I10" i="13"/>
  <c r="H9" i="13"/>
  <c r="B30" i="13"/>
  <c r="B28" i="13"/>
  <c r="B26" i="13"/>
  <c r="B24" i="13"/>
  <c r="B22" i="13"/>
  <c r="B20" i="13"/>
  <c r="B18" i="13"/>
  <c r="B16" i="13"/>
  <c r="B14" i="13"/>
  <c r="B12" i="13"/>
  <c r="B10" i="13"/>
  <c r="J88" i="13"/>
  <c r="I75" i="13"/>
  <c r="H70" i="13"/>
  <c r="J64" i="13"/>
  <c r="C82" i="13"/>
  <c r="B77" i="13"/>
  <c r="D71" i="13"/>
  <c r="C66" i="13"/>
  <c r="B61" i="13"/>
  <c r="J52" i="13"/>
  <c r="I47" i="13"/>
  <c r="H42" i="13"/>
  <c r="J36" i="13"/>
  <c r="C54" i="13"/>
  <c r="B49" i="13"/>
  <c r="D44" i="13"/>
  <c r="B41" i="13"/>
  <c r="C38" i="13"/>
  <c r="D35" i="13"/>
  <c r="H30" i="13"/>
  <c r="I27" i="13"/>
  <c r="J24" i="13"/>
  <c r="H22" i="13"/>
  <c r="I19" i="13"/>
  <c r="J16" i="13"/>
  <c r="H14" i="13"/>
  <c r="I11" i="13"/>
  <c r="C31" i="13"/>
  <c r="C27" i="13"/>
  <c r="C23" i="13"/>
  <c r="C19" i="13"/>
  <c r="C15" i="13"/>
  <c r="C11" i="13"/>
  <c r="J85" i="13"/>
  <c r="J77" i="13"/>
  <c r="H67" i="13"/>
  <c r="C79" i="13"/>
  <c r="D68" i="13"/>
  <c r="H55" i="13"/>
  <c r="I44" i="13"/>
  <c r="D56" i="13"/>
  <c r="B46" i="13"/>
  <c r="C39" i="13"/>
  <c r="H31" i="13"/>
  <c r="J25" i="13"/>
  <c r="I20" i="13"/>
  <c r="H15" i="13"/>
  <c r="J9" i="13"/>
  <c r="B25" i="13"/>
  <c r="B17" i="13"/>
  <c r="B9" i="13"/>
  <c r="J61" i="13"/>
  <c r="C63" i="13"/>
  <c r="H39" i="13"/>
  <c r="C42" i="13"/>
  <c r="I28" i="13"/>
  <c r="J17" i="13"/>
  <c r="B29" i="13"/>
  <c r="B13" i="13"/>
  <c r="B82" i="13"/>
  <c r="J57" i="13"/>
  <c r="I36" i="13"/>
  <c r="D40" i="13"/>
  <c r="H27" i="13"/>
  <c r="I16" i="13"/>
  <c r="B27" i="13"/>
  <c r="B11" i="13"/>
  <c r="H75" i="13"/>
  <c r="I64" i="13"/>
  <c r="D76" i="13"/>
  <c r="B66" i="13"/>
  <c r="I52" i="13"/>
  <c r="J41" i="13"/>
  <c r="B54" i="13"/>
  <c r="B44" i="13"/>
  <c r="B38" i="13"/>
  <c r="J29" i="13"/>
  <c r="I24" i="13"/>
  <c r="H19" i="13"/>
  <c r="J13" i="13"/>
  <c r="B31" i="13"/>
  <c r="B23" i="13"/>
  <c r="B15" i="13"/>
  <c r="J84" i="13"/>
  <c r="I72" i="13"/>
  <c r="B74" i="13"/>
  <c r="J49" i="13"/>
  <c r="C51" i="13"/>
  <c r="D36" i="13"/>
  <c r="H23" i="13"/>
  <c r="I12" i="13"/>
  <c r="B21" i="13"/>
  <c r="J69" i="13"/>
  <c r="C71" i="13"/>
  <c r="H47" i="13"/>
  <c r="D48" i="13"/>
  <c r="C35" i="13"/>
  <c r="J21" i="13"/>
  <c r="H11" i="13"/>
  <c r="B19" i="13"/>
  <c r="J86" i="13"/>
  <c r="A50" i="5"/>
  <c r="L5" i="10"/>
  <c r="A22" i="7"/>
  <c r="A20" i="4"/>
  <c r="A22" i="1"/>
  <c r="F82" i="10" l="1"/>
  <c r="F78" i="10"/>
  <c r="F74" i="10"/>
  <c r="F70" i="10"/>
  <c r="F66" i="10"/>
  <c r="F62" i="10"/>
  <c r="F58" i="10"/>
  <c r="F54" i="10"/>
  <c r="J15" i="10"/>
  <c r="M47" i="10"/>
  <c r="F47" i="10"/>
  <c r="F43" i="10"/>
  <c r="F39" i="10"/>
  <c r="M40" i="10"/>
  <c r="M36" i="10"/>
  <c r="M32" i="10"/>
  <c r="M28" i="10"/>
  <c r="M24" i="10"/>
  <c r="F32" i="10"/>
  <c r="F28" i="10"/>
  <c r="F24" i="10"/>
  <c r="D15" i="10"/>
  <c r="D11" i="10"/>
  <c r="D7" i="10"/>
  <c r="F80" i="10"/>
  <c r="F68" i="10"/>
  <c r="F60" i="10"/>
  <c r="F52" i="10"/>
  <c r="M45" i="10"/>
  <c r="F41" i="10"/>
  <c r="M38" i="10"/>
  <c r="M30" i="10"/>
  <c r="M22" i="10"/>
  <c r="F26" i="10"/>
  <c r="D13" i="10"/>
  <c r="F79" i="10"/>
  <c r="F63" i="10"/>
  <c r="F55" i="10"/>
  <c r="M48" i="10"/>
  <c r="F44" i="10"/>
  <c r="F36" i="10"/>
  <c r="M33" i="10"/>
  <c r="M25" i="10"/>
  <c r="F29" i="10"/>
  <c r="F21" i="10"/>
  <c r="D8" i="10"/>
  <c r="F81" i="10"/>
  <c r="F77" i="10"/>
  <c r="F73" i="10"/>
  <c r="F69" i="10"/>
  <c r="F65" i="10"/>
  <c r="F61" i="10"/>
  <c r="F57" i="10"/>
  <c r="F53" i="10"/>
  <c r="J14" i="10"/>
  <c r="M46" i="10"/>
  <c r="F46" i="10"/>
  <c r="F42" i="10"/>
  <c r="F38" i="10"/>
  <c r="M39" i="10"/>
  <c r="M35" i="10"/>
  <c r="M31" i="10"/>
  <c r="M27" i="10"/>
  <c r="M23" i="10"/>
  <c r="F31" i="10"/>
  <c r="F27" i="10"/>
  <c r="F23" i="10"/>
  <c r="D14" i="10"/>
  <c r="D10" i="10"/>
  <c r="D6" i="10"/>
  <c r="F76" i="10"/>
  <c r="F72" i="10"/>
  <c r="F64" i="10"/>
  <c r="F56" i="10"/>
  <c r="J13" i="10"/>
  <c r="F45" i="10"/>
  <c r="F37" i="10"/>
  <c r="M34" i="10"/>
  <c r="M26" i="10"/>
  <c r="F30" i="10"/>
  <c r="F22" i="10"/>
  <c r="D9" i="10"/>
  <c r="F75" i="10"/>
  <c r="F71" i="10"/>
  <c r="F67" i="10"/>
  <c r="F59" i="10"/>
  <c r="F51" i="10"/>
  <c r="M44" i="10"/>
  <c r="F40" i="10"/>
  <c r="M37" i="10"/>
  <c r="M29" i="10"/>
  <c r="M21" i="10"/>
  <c r="F25" i="10"/>
  <c r="D12" i="10"/>
  <c r="F56" i="5"/>
  <c r="F52" i="5"/>
  <c r="J50" i="5"/>
  <c r="I56" i="5"/>
  <c r="I55" i="5"/>
  <c r="I54" i="5"/>
  <c r="I53" i="5"/>
  <c r="I52" i="5"/>
  <c r="I51" i="5"/>
  <c r="M43" i="5"/>
  <c r="M39" i="5"/>
  <c r="M35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C48" i="5"/>
  <c r="C44" i="5"/>
  <c r="C39" i="5"/>
  <c r="C34" i="5"/>
  <c r="C30" i="5"/>
  <c r="M23" i="5"/>
  <c r="M19" i="5"/>
  <c r="M15" i="5"/>
  <c r="M11" i="5"/>
  <c r="E16" i="5"/>
  <c r="E12" i="5"/>
  <c r="F55" i="5"/>
  <c r="M50" i="5"/>
  <c r="L56" i="5"/>
  <c r="L55" i="5"/>
  <c r="L54" i="5"/>
  <c r="L53" i="5"/>
  <c r="L52" i="5"/>
  <c r="L51" i="5"/>
  <c r="M46" i="5"/>
  <c r="M42" i="5"/>
  <c r="M38" i="5"/>
  <c r="M34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C47" i="5"/>
  <c r="C42" i="5"/>
  <c r="C38" i="5"/>
  <c r="C33" i="5"/>
  <c r="M26" i="5"/>
  <c r="M22" i="5"/>
  <c r="M18" i="5"/>
  <c r="M14" i="5"/>
  <c r="M10" i="5"/>
  <c r="E15" i="5"/>
  <c r="E11" i="5"/>
  <c r="F54" i="5"/>
  <c r="K56" i="5"/>
  <c r="K54" i="5"/>
  <c r="K52" i="5"/>
  <c r="M45" i="5"/>
  <c r="M37" i="5"/>
  <c r="I46" i="5"/>
  <c r="I44" i="5"/>
  <c r="I42" i="5"/>
  <c r="I40" i="5"/>
  <c r="I38" i="5"/>
  <c r="I36" i="5"/>
  <c r="I34" i="5"/>
  <c r="I32" i="5"/>
  <c r="C46" i="5"/>
  <c r="C37" i="5"/>
  <c r="M25" i="5"/>
  <c r="M17" i="5"/>
  <c r="M9" i="5"/>
  <c r="E10" i="5"/>
  <c r="L50" i="5"/>
  <c r="K53" i="5"/>
  <c r="K51" i="5"/>
  <c r="M41" i="5"/>
  <c r="I45" i="5"/>
  <c r="I43" i="5"/>
  <c r="I39" i="5"/>
  <c r="I35" i="5"/>
  <c r="I31" i="5"/>
  <c r="C32" i="5"/>
  <c r="M13" i="5"/>
  <c r="F53" i="5"/>
  <c r="J56" i="5"/>
  <c r="J54" i="5"/>
  <c r="J52" i="5"/>
  <c r="M44" i="5"/>
  <c r="M36" i="5"/>
  <c r="L45" i="5"/>
  <c r="L43" i="5"/>
  <c r="L41" i="5"/>
  <c r="L39" i="5"/>
  <c r="L37" i="5"/>
  <c r="L35" i="5"/>
  <c r="L33" i="5"/>
  <c r="L31" i="5"/>
  <c r="C45" i="5"/>
  <c r="C35" i="5"/>
  <c r="M24" i="5"/>
  <c r="M16" i="5"/>
  <c r="E17" i="5"/>
  <c r="E9" i="5"/>
  <c r="K55" i="5"/>
  <c r="M33" i="5"/>
  <c r="I41" i="5"/>
  <c r="I37" i="5"/>
  <c r="I33" i="5"/>
  <c r="C41" i="5"/>
  <c r="M21" i="5"/>
  <c r="E14" i="5"/>
  <c r="K50" i="5"/>
  <c r="M40" i="5"/>
  <c r="L40" i="5"/>
  <c r="L32" i="5"/>
  <c r="M20" i="5"/>
  <c r="L44" i="5"/>
  <c r="J51" i="5"/>
  <c r="C31" i="5"/>
  <c r="J55" i="5"/>
  <c r="L46" i="5"/>
  <c r="L38" i="5"/>
  <c r="C49" i="5"/>
  <c r="M12" i="5"/>
  <c r="J53" i="5"/>
  <c r="L36" i="5"/>
  <c r="C40" i="5"/>
  <c r="E13" i="5"/>
  <c r="L42" i="5"/>
  <c r="L34" i="5"/>
  <c r="G33" i="4"/>
  <c r="I31" i="4"/>
  <c r="H30" i="4"/>
  <c r="G29" i="4"/>
  <c r="I27" i="4"/>
  <c r="H26" i="4"/>
  <c r="G25" i="4"/>
  <c r="I23" i="4"/>
  <c r="C33" i="4"/>
  <c r="B32" i="4"/>
  <c r="D30" i="4"/>
  <c r="C29" i="4"/>
  <c r="B28" i="4"/>
  <c r="D26" i="4"/>
  <c r="C25" i="4"/>
  <c r="B24" i="4"/>
  <c r="I19" i="4"/>
  <c r="H18" i="4"/>
  <c r="G17" i="4"/>
  <c r="I15" i="4"/>
  <c r="H14" i="4"/>
  <c r="G13" i="4"/>
  <c r="I11" i="4"/>
  <c r="H10" i="4"/>
  <c r="G9" i="4"/>
  <c r="D18" i="4"/>
  <c r="C17" i="4"/>
  <c r="B16" i="4"/>
  <c r="D14" i="4"/>
  <c r="C13" i="4"/>
  <c r="B12" i="4"/>
  <c r="D10" i="4"/>
  <c r="C9" i="4"/>
  <c r="I32" i="4"/>
  <c r="H31" i="4"/>
  <c r="G30" i="4"/>
  <c r="I28" i="4"/>
  <c r="H27" i="4"/>
  <c r="G26" i="4"/>
  <c r="I24" i="4"/>
  <c r="H23" i="4"/>
  <c r="B33" i="4"/>
  <c r="D31" i="4"/>
  <c r="C30" i="4"/>
  <c r="B29" i="4"/>
  <c r="D27" i="4"/>
  <c r="C26" i="4"/>
  <c r="B25" i="4"/>
  <c r="D23" i="4"/>
  <c r="H19" i="4"/>
  <c r="G18" i="4"/>
  <c r="I16" i="4"/>
  <c r="H15" i="4"/>
  <c r="G14" i="4"/>
  <c r="I12" i="4"/>
  <c r="H11" i="4"/>
  <c r="G10" i="4"/>
  <c r="D19" i="4"/>
  <c r="C18" i="4"/>
  <c r="B17" i="4"/>
  <c r="D15" i="4"/>
  <c r="C14" i="4"/>
  <c r="B13" i="4"/>
  <c r="D11" i="4"/>
  <c r="C10" i="4"/>
  <c r="B9" i="4"/>
  <c r="I33" i="4"/>
  <c r="H32" i="4"/>
  <c r="G31" i="4"/>
  <c r="I29" i="4"/>
  <c r="H28" i="4"/>
  <c r="G27" i="4"/>
  <c r="I25" i="4"/>
  <c r="H24" i="4"/>
  <c r="G23" i="4"/>
  <c r="D32" i="4"/>
  <c r="C31" i="4"/>
  <c r="B30" i="4"/>
  <c r="D28" i="4"/>
  <c r="C27" i="4"/>
  <c r="B26" i="4"/>
  <c r="D24" i="4"/>
  <c r="C23" i="4"/>
  <c r="G19" i="4"/>
  <c r="I17" i="4"/>
  <c r="H16" i="4"/>
  <c r="G15" i="4"/>
  <c r="I13" i="4"/>
  <c r="H12" i="4"/>
  <c r="G11" i="4"/>
  <c r="I9" i="4"/>
  <c r="C19" i="4"/>
  <c r="B18" i="4"/>
  <c r="D16" i="4"/>
  <c r="C15" i="4"/>
  <c r="B14" i="4"/>
  <c r="D12" i="4"/>
  <c r="C11" i="4"/>
  <c r="B10" i="4"/>
  <c r="I30" i="4"/>
  <c r="H25" i="4"/>
  <c r="B31" i="4"/>
  <c r="D25" i="4"/>
  <c r="H17" i="4"/>
  <c r="G12" i="4"/>
  <c r="D17" i="4"/>
  <c r="C12" i="4"/>
  <c r="H29" i="4"/>
  <c r="G24" i="4"/>
  <c r="D29" i="4"/>
  <c r="C24" i="4"/>
  <c r="G16" i="4"/>
  <c r="I10" i="4"/>
  <c r="C16" i="4"/>
  <c r="B11" i="4"/>
  <c r="H33" i="4"/>
  <c r="G28" i="4"/>
  <c r="D33" i="4"/>
  <c r="C28" i="4"/>
  <c r="B23" i="4"/>
  <c r="I14" i="4"/>
  <c r="H9" i="4"/>
  <c r="B15" i="4"/>
  <c r="D9" i="4"/>
  <c r="C32" i="4"/>
  <c r="B19" i="4"/>
  <c r="I26" i="4"/>
  <c r="B27" i="4"/>
  <c r="D13" i="4"/>
  <c r="H13" i="4"/>
  <c r="G32" i="4"/>
  <c r="I18" i="4"/>
  <c r="D6" i="1"/>
  <c r="H6" i="1"/>
  <c r="E7" i="1"/>
  <c r="B8" i="1"/>
  <c r="F8" i="1"/>
  <c r="C9" i="1"/>
  <c r="G9" i="1"/>
  <c r="D10" i="1"/>
  <c r="H10" i="1"/>
  <c r="E11" i="1"/>
  <c r="B12" i="1"/>
  <c r="F12" i="1"/>
  <c r="C13" i="1"/>
  <c r="G13" i="1"/>
  <c r="D14" i="1"/>
  <c r="H14" i="1"/>
  <c r="E15" i="1"/>
  <c r="B16" i="1"/>
  <c r="F16" i="1"/>
  <c r="C17" i="1"/>
  <c r="G17" i="1"/>
  <c r="D18" i="1"/>
  <c r="H18" i="1"/>
  <c r="E19" i="1"/>
  <c r="B20" i="1"/>
  <c r="F20" i="1"/>
  <c r="C21" i="1"/>
  <c r="G21" i="1"/>
  <c r="M6" i="1"/>
  <c r="Q6" i="1"/>
  <c r="N7" i="1"/>
  <c r="K8" i="1"/>
  <c r="O8" i="1"/>
  <c r="L9" i="1"/>
  <c r="P9" i="1"/>
  <c r="M10" i="1"/>
  <c r="Q10" i="1"/>
  <c r="N11" i="1"/>
  <c r="K12" i="1"/>
  <c r="O12" i="1"/>
  <c r="L13" i="1"/>
  <c r="P13" i="1"/>
  <c r="M14" i="1"/>
  <c r="Q14" i="1"/>
  <c r="N15" i="1"/>
  <c r="K16" i="1"/>
  <c r="O16" i="1"/>
  <c r="L17" i="1"/>
  <c r="P17" i="1"/>
  <c r="M18" i="1"/>
  <c r="Q18" i="1"/>
  <c r="N19" i="1"/>
  <c r="K20" i="1"/>
  <c r="O20" i="1"/>
  <c r="L21" i="1"/>
  <c r="P21" i="1"/>
  <c r="D25" i="1"/>
  <c r="H25" i="1"/>
  <c r="E26" i="1"/>
  <c r="B27" i="1"/>
  <c r="F27" i="1"/>
  <c r="C28" i="1"/>
  <c r="G28" i="1"/>
  <c r="D29" i="1"/>
  <c r="H29" i="1"/>
  <c r="E30" i="1"/>
  <c r="B31" i="1"/>
  <c r="F31" i="1"/>
  <c r="C32" i="1"/>
  <c r="G32" i="1"/>
  <c r="D33" i="1"/>
  <c r="H33" i="1"/>
  <c r="E34" i="1"/>
  <c r="B35" i="1"/>
  <c r="F35" i="1"/>
  <c r="C36" i="1"/>
  <c r="G36" i="1"/>
  <c r="D37" i="1"/>
  <c r="H37" i="1"/>
  <c r="E38" i="1"/>
  <c r="B39" i="1"/>
  <c r="F39" i="1"/>
  <c r="C40" i="1"/>
  <c r="G40" i="1"/>
  <c r="M25" i="1"/>
  <c r="Q25" i="1"/>
  <c r="N26" i="1"/>
  <c r="K27" i="1"/>
  <c r="O27" i="1"/>
  <c r="L28" i="1"/>
  <c r="P28" i="1"/>
  <c r="M29" i="1"/>
  <c r="Q29" i="1"/>
  <c r="N30" i="1"/>
  <c r="K31" i="1"/>
  <c r="O31" i="1"/>
  <c r="L32" i="1"/>
  <c r="P32" i="1"/>
  <c r="M33" i="1"/>
  <c r="Q33" i="1"/>
  <c r="N34" i="1"/>
  <c r="K35" i="1"/>
  <c r="O35" i="1"/>
  <c r="L36" i="1"/>
  <c r="P36" i="1"/>
  <c r="M37" i="1"/>
  <c r="Q37" i="1"/>
  <c r="N38" i="1"/>
  <c r="K39" i="1"/>
  <c r="O39" i="1"/>
  <c r="L40" i="1"/>
  <c r="P40" i="1"/>
  <c r="P39" i="1"/>
  <c r="G7" i="1"/>
  <c r="E9" i="1"/>
  <c r="F10" i="1"/>
  <c r="G11" i="1"/>
  <c r="H12" i="1"/>
  <c r="B14" i="1"/>
  <c r="C15" i="1"/>
  <c r="D16" i="1"/>
  <c r="E17" i="1"/>
  <c r="F18" i="1"/>
  <c r="G19" i="1"/>
  <c r="H20" i="1"/>
  <c r="K6" i="1"/>
  <c r="L7" i="1"/>
  <c r="M8" i="1"/>
  <c r="N9" i="1"/>
  <c r="O10" i="1"/>
  <c r="P11" i="1"/>
  <c r="Q12" i="1"/>
  <c r="K14" i="1"/>
  <c r="O14" i="1"/>
  <c r="P15" i="1"/>
  <c r="Q16" i="1"/>
  <c r="K18" i="1"/>
  <c r="P19" i="1"/>
  <c r="Q20" i="1"/>
  <c r="B25" i="1"/>
  <c r="F25" i="1"/>
  <c r="G26" i="1"/>
  <c r="H27" i="1"/>
  <c r="B29" i="1"/>
  <c r="C30" i="1"/>
  <c r="D31" i="1"/>
  <c r="E32" i="1"/>
  <c r="F33" i="1"/>
  <c r="G34" i="1"/>
  <c r="H35" i="1"/>
  <c r="B37" i="1"/>
  <c r="C38" i="1"/>
  <c r="D39" i="1"/>
  <c r="E40" i="1"/>
  <c r="O25" i="1"/>
  <c r="P26" i="1"/>
  <c r="Q27" i="1"/>
  <c r="N28" i="1"/>
  <c r="O29" i="1"/>
  <c r="P30" i="1"/>
  <c r="Q31" i="1"/>
  <c r="K33" i="1"/>
  <c r="L34" i="1"/>
  <c r="M35" i="1"/>
  <c r="N36" i="1"/>
  <c r="O37" i="1"/>
  <c r="P38" i="1"/>
  <c r="Q39" i="1"/>
  <c r="D7" i="1"/>
  <c r="B9" i="1"/>
  <c r="C10" i="1"/>
  <c r="D11" i="1"/>
  <c r="E12" i="1"/>
  <c r="F13" i="1"/>
  <c r="G14" i="1"/>
  <c r="H15" i="1"/>
  <c r="B17" i="1"/>
  <c r="C18" i="1"/>
  <c r="D19" i="1"/>
  <c r="E20" i="1"/>
  <c r="F21" i="1"/>
  <c r="P6" i="1"/>
  <c r="Q7" i="1"/>
  <c r="K9" i="1"/>
  <c r="L10" i="1"/>
  <c r="M11" i="1"/>
  <c r="Q11" i="1"/>
  <c r="K13" i="1"/>
  <c r="L14" i="1"/>
  <c r="M15" i="1"/>
  <c r="N16" i="1"/>
  <c r="O17" i="1"/>
  <c r="P18" i="1"/>
  <c r="Q19" i="1"/>
  <c r="K21" i="1"/>
  <c r="C25" i="1"/>
  <c r="D26" i="1"/>
  <c r="E27" i="1"/>
  <c r="F28" i="1"/>
  <c r="G29" i="1"/>
  <c r="H30" i="1"/>
  <c r="B32" i="1"/>
  <c r="C33" i="1"/>
  <c r="D34" i="1"/>
  <c r="E35" i="1"/>
  <c r="F36" i="1"/>
  <c r="G37" i="1"/>
  <c r="H38" i="1"/>
  <c r="B40" i="1"/>
  <c r="L25" i="1"/>
  <c r="M26" i="1"/>
  <c r="N27" i="1"/>
  <c r="O28" i="1"/>
  <c r="P29" i="1"/>
  <c r="Q30" i="1"/>
  <c r="K32" i="1"/>
  <c r="L33" i="1"/>
  <c r="M34" i="1"/>
  <c r="N35" i="1"/>
  <c r="O36" i="1"/>
  <c r="P37" i="1"/>
  <c r="Q38" i="1"/>
  <c r="K40" i="1"/>
  <c r="E6" i="1"/>
  <c r="B7" i="1"/>
  <c r="F7" i="1"/>
  <c r="C8" i="1"/>
  <c r="G8" i="1"/>
  <c r="D9" i="1"/>
  <c r="H9" i="1"/>
  <c r="E10" i="1"/>
  <c r="B11" i="1"/>
  <c r="F11" i="1"/>
  <c r="C12" i="1"/>
  <c r="G12" i="1"/>
  <c r="D13" i="1"/>
  <c r="H13" i="1"/>
  <c r="E14" i="1"/>
  <c r="B15" i="1"/>
  <c r="F15" i="1"/>
  <c r="C16" i="1"/>
  <c r="G16" i="1"/>
  <c r="D17" i="1"/>
  <c r="H17" i="1"/>
  <c r="E18" i="1"/>
  <c r="B19" i="1"/>
  <c r="F19" i="1"/>
  <c r="C20" i="1"/>
  <c r="G20" i="1"/>
  <c r="D21" i="1"/>
  <c r="H21" i="1"/>
  <c r="N6" i="1"/>
  <c r="K7" i="1"/>
  <c r="O7" i="1"/>
  <c r="L8" i="1"/>
  <c r="P8" i="1"/>
  <c r="M9" i="1"/>
  <c r="Q9" i="1"/>
  <c r="N10" i="1"/>
  <c r="K11" i="1"/>
  <c r="O11" i="1"/>
  <c r="L12" i="1"/>
  <c r="P12" i="1"/>
  <c r="M13" i="1"/>
  <c r="Q13" i="1"/>
  <c r="N14" i="1"/>
  <c r="K15" i="1"/>
  <c r="O15" i="1"/>
  <c r="L16" i="1"/>
  <c r="P16" i="1"/>
  <c r="M17" i="1"/>
  <c r="Q17" i="1"/>
  <c r="N18" i="1"/>
  <c r="K19" i="1"/>
  <c r="O19" i="1"/>
  <c r="L20" i="1"/>
  <c r="P20" i="1"/>
  <c r="M21" i="1"/>
  <c r="Q21" i="1"/>
  <c r="E25" i="1"/>
  <c r="B26" i="1"/>
  <c r="F26" i="1"/>
  <c r="C27" i="1"/>
  <c r="G27" i="1"/>
  <c r="D28" i="1"/>
  <c r="H28" i="1"/>
  <c r="E29" i="1"/>
  <c r="B30" i="1"/>
  <c r="F30" i="1"/>
  <c r="C31" i="1"/>
  <c r="G31" i="1"/>
  <c r="D32" i="1"/>
  <c r="H32" i="1"/>
  <c r="E33" i="1"/>
  <c r="B34" i="1"/>
  <c r="F34" i="1"/>
  <c r="C35" i="1"/>
  <c r="G35" i="1"/>
  <c r="D36" i="1"/>
  <c r="H36" i="1"/>
  <c r="E37" i="1"/>
  <c r="B38" i="1"/>
  <c r="F38" i="1"/>
  <c r="C39" i="1"/>
  <c r="G39" i="1"/>
  <c r="D40" i="1"/>
  <c r="H40" i="1"/>
  <c r="N25" i="1"/>
  <c r="K26" i="1"/>
  <c r="O26" i="1"/>
  <c r="L27" i="1"/>
  <c r="P27" i="1"/>
  <c r="M28" i="1"/>
  <c r="Q28" i="1"/>
  <c r="N29" i="1"/>
  <c r="K30" i="1"/>
  <c r="O30" i="1"/>
  <c r="L31" i="1"/>
  <c r="P31" i="1"/>
  <c r="M32" i="1"/>
  <c r="Q32" i="1"/>
  <c r="N33" i="1"/>
  <c r="K34" i="1"/>
  <c r="O34" i="1"/>
  <c r="L35" i="1"/>
  <c r="P35" i="1"/>
  <c r="M36" i="1"/>
  <c r="Q36" i="1"/>
  <c r="N37" i="1"/>
  <c r="K38" i="1"/>
  <c r="O38" i="1"/>
  <c r="L39" i="1"/>
  <c r="M40" i="1"/>
  <c r="Q40" i="1"/>
  <c r="B6" i="1"/>
  <c r="F6" i="1"/>
  <c r="C7" i="1"/>
  <c r="D8" i="1"/>
  <c r="H8" i="1"/>
  <c r="B10" i="1"/>
  <c r="C11" i="1"/>
  <c r="D12" i="1"/>
  <c r="E13" i="1"/>
  <c r="F14" i="1"/>
  <c r="G15" i="1"/>
  <c r="H16" i="1"/>
  <c r="B18" i="1"/>
  <c r="C19" i="1"/>
  <c r="D20" i="1"/>
  <c r="E21" i="1"/>
  <c r="O6" i="1"/>
  <c r="P7" i="1"/>
  <c r="Q8" i="1"/>
  <c r="K10" i="1"/>
  <c r="L11" i="1"/>
  <c r="M12" i="1"/>
  <c r="N13" i="1"/>
  <c r="L15" i="1"/>
  <c r="M16" i="1"/>
  <c r="N17" i="1"/>
  <c r="O18" i="1"/>
  <c r="L19" i="1"/>
  <c r="M20" i="1"/>
  <c r="N21" i="1"/>
  <c r="C26" i="1"/>
  <c r="D27" i="1"/>
  <c r="E28" i="1"/>
  <c r="F29" i="1"/>
  <c r="G30" i="1"/>
  <c r="H31" i="1"/>
  <c r="B33" i="1"/>
  <c r="C34" i="1"/>
  <c r="D35" i="1"/>
  <c r="E36" i="1"/>
  <c r="F37" i="1"/>
  <c r="G38" i="1"/>
  <c r="H39" i="1"/>
  <c r="K25" i="1"/>
  <c r="L26" i="1"/>
  <c r="M27" i="1"/>
  <c r="K29" i="1"/>
  <c r="L30" i="1"/>
  <c r="M31" i="1"/>
  <c r="N32" i="1"/>
  <c r="O33" i="1"/>
  <c r="P34" i="1"/>
  <c r="Q35" i="1"/>
  <c r="K37" i="1"/>
  <c r="L38" i="1"/>
  <c r="M39" i="1"/>
  <c r="N40" i="1"/>
  <c r="C6" i="1"/>
  <c r="G6" i="1"/>
  <c r="H7" i="1"/>
  <c r="E8" i="1"/>
  <c r="F9" i="1"/>
  <c r="G10" i="1"/>
  <c r="H11" i="1"/>
  <c r="B13" i="1"/>
  <c r="C14" i="1"/>
  <c r="D15" i="1"/>
  <c r="E16" i="1"/>
  <c r="F17" i="1"/>
  <c r="G18" i="1"/>
  <c r="H19" i="1"/>
  <c r="B21" i="1"/>
  <c r="L6" i="1"/>
  <c r="M7" i="1"/>
  <c r="N8" i="1"/>
  <c r="O9" i="1"/>
  <c r="P10" i="1"/>
  <c r="N12" i="1"/>
  <c r="O13" i="1"/>
  <c r="P14" i="1"/>
  <c r="Q15" i="1"/>
  <c r="K17" i="1"/>
  <c r="L18" i="1"/>
  <c r="M19" i="1"/>
  <c r="N20" i="1"/>
  <c r="O21" i="1"/>
  <c r="G25" i="1"/>
  <c r="H26" i="1"/>
  <c r="B28" i="1"/>
  <c r="C29" i="1"/>
  <c r="D30" i="1"/>
  <c r="E31" i="1"/>
  <c r="F32" i="1"/>
  <c r="G33" i="1"/>
  <c r="H34" i="1"/>
  <c r="B36" i="1"/>
  <c r="C37" i="1"/>
  <c r="D38" i="1"/>
  <c r="E39" i="1"/>
  <c r="F40" i="1"/>
  <c r="P25" i="1"/>
  <c r="Q26" i="1"/>
  <c r="K28" i="1"/>
  <c r="L29" i="1"/>
  <c r="M30" i="1"/>
  <c r="N31" i="1"/>
  <c r="O32" i="1"/>
  <c r="P33" i="1"/>
  <c r="Q34" i="1"/>
  <c r="K36" i="1"/>
  <c r="L37" i="1"/>
  <c r="M38" i="1"/>
  <c r="N39" i="1"/>
  <c r="O40" i="1"/>
  <c r="G71" i="7"/>
  <c r="H73" i="7"/>
  <c r="F72" i="7"/>
  <c r="D72" i="7"/>
  <c r="D70" i="7"/>
  <c r="G62" i="7"/>
  <c r="H64" i="7"/>
  <c r="E65" i="7"/>
  <c r="D63" i="7"/>
  <c r="I53" i="7"/>
  <c r="H52" i="7"/>
  <c r="G51" i="7"/>
  <c r="E53" i="7"/>
  <c r="D52" i="7"/>
  <c r="C51" i="7"/>
  <c r="I45" i="7"/>
  <c r="H44" i="7"/>
  <c r="G43" i="7"/>
  <c r="E45" i="7"/>
  <c r="D44" i="7"/>
  <c r="C43" i="7"/>
  <c r="K18" i="7"/>
  <c r="K16" i="7"/>
  <c r="K14" i="7"/>
  <c r="K12" i="7"/>
  <c r="I21" i="7"/>
  <c r="I19" i="7"/>
  <c r="I17" i="7"/>
  <c r="I15" i="7"/>
  <c r="I13" i="7"/>
  <c r="I11" i="7"/>
  <c r="C20" i="7"/>
  <c r="E18" i="7"/>
  <c r="E17" i="7"/>
  <c r="E16" i="7"/>
  <c r="E15" i="7"/>
  <c r="E14" i="7"/>
  <c r="E13" i="7"/>
  <c r="E12" i="7"/>
  <c r="E11" i="7"/>
  <c r="K32" i="7"/>
  <c r="K30" i="7"/>
  <c r="K28" i="7"/>
  <c r="K26" i="7"/>
  <c r="I35" i="7"/>
  <c r="I33" i="7"/>
  <c r="I31" i="7"/>
  <c r="I29" i="7"/>
  <c r="I27" i="7"/>
  <c r="I25" i="7"/>
  <c r="E31" i="7"/>
  <c r="E29" i="7"/>
  <c r="E27" i="7"/>
  <c r="E25" i="7"/>
  <c r="C34" i="7"/>
  <c r="C32" i="7"/>
  <c r="C30" i="7"/>
  <c r="C28" i="7"/>
  <c r="C26" i="7"/>
  <c r="F71" i="7"/>
  <c r="G73" i="7"/>
  <c r="E72" i="7"/>
  <c r="C72" i="7"/>
  <c r="C70" i="7"/>
  <c r="F62" i="7"/>
  <c r="G64" i="7"/>
  <c r="D65" i="7"/>
  <c r="C63" i="7"/>
  <c r="H53" i="7"/>
  <c r="G52" i="7"/>
  <c r="I50" i="7"/>
  <c r="D53" i="7"/>
  <c r="C52" i="7"/>
  <c r="E50" i="7"/>
  <c r="H45" i="7"/>
  <c r="G44" i="7"/>
  <c r="I42" i="7"/>
  <c r="D45" i="7"/>
  <c r="C44" i="7"/>
  <c r="E42" i="7"/>
  <c r="J18" i="7"/>
  <c r="J16" i="7"/>
  <c r="J14" i="7"/>
  <c r="J12" i="7"/>
  <c r="H21" i="7"/>
  <c r="H19" i="7"/>
  <c r="H17" i="7"/>
  <c r="H15" i="7"/>
  <c r="H13" i="7"/>
  <c r="H11" i="7"/>
  <c r="B20" i="7"/>
  <c r="D18" i="7"/>
  <c r="D17" i="7"/>
  <c r="D16" i="7"/>
  <c r="D15" i="7"/>
  <c r="D14" i="7"/>
  <c r="D13" i="7"/>
  <c r="D12" i="7"/>
  <c r="D11" i="7"/>
  <c r="J32" i="7"/>
  <c r="J30" i="7"/>
  <c r="J28" i="7"/>
  <c r="J26" i="7"/>
  <c r="H35" i="7"/>
  <c r="H33" i="7"/>
  <c r="H31" i="7"/>
  <c r="H29" i="7"/>
  <c r="H27" i="7"/>
  <c r="H25" i="7"/>
  <c r="D31" i="7"/>
  <c r="D29" i="7"/>
  <c r="D27" i="7"/>
  <c r="D25" i="7"/>
  <c r="B34" i="7"/>
  <c r="B32" i="7"/>
  <c r="B30" i="7"/>
  <c r="B28" i="7"/>
  <c r="B26" i="7"/>
  <c r="G70" i="7"/>
  <c r="E73" i="7"/>
  <c r="G63" i="7"/>
  <c r="F64" i="7"/>
  <c r="D62" i="7"/>
  <c r="I51" i="7"/>
  <c r="C53" i="7"/>
  <c r="D50" i="7"/>
  <c r="I43" i="7"/>
  <c r="C45" i="7"/>
  <c r="D42" i="7"/>
  <c r="K15" i="7"/>
  <c r="K11" i="7"/>
  <c r="I18" i="7"/>
  <c r="I14" i="7"/>
  <c r="C21" i="7"/>
  <c r="C18" i="7"/>
  <c r="C16" i="7"/>
  <c r="C14" i="7"/>
  <c r="C12" i="7"/>
  <c r="K31" i="7"/>
  <c r="K27" i="7"/>
  <c r="I34" i="7"/>
  <c r="I30" i="7"/>
  <c r="I26" i="7"/>
  <c r="E30" i="7"/>
  <c r="E26" i="7"/>
  <c r="C33" i="7"/>
  <c r="C29" i="7"/>
  <c r="C25" i="7"/>
  <c r="F70" i="7"/>
  <c r="D73" i="7"/>
  <c r="F63" i="7"/>
  <c r="E64" i="7"/>
  <c r="C62" i="7"/>
  <c r="H51" i="7"/>
  <c r="E52" i="7"/>
  <c r="C50" i="7"/>
  <c r="H43" i="7"/>
  <c r="E44" i="7"/>
  <c r="C42" i="7"/>
  <c r="J15" i="7"/>
  <c r="J11" i="7"/>
  <c r="H18" i="7"/>
  <c r="H14" i="7"/>
  <c r="B21" i="7"/>
  <c r="B18" i="7"/>
  <c r="B16" i="7"/>
  <c r="B14" i="7"/>
  <c r="B12" i="7"/>
  <c r="J31" i="7"/>
  <c r="J27" i="7"/>
  <c r="H34" i="7"/>
  <c r="H30" i="7"/>
  <c r="H26" i="7"/>
  <c r="D30" i="7"/>
  <c r="D26" i="7"/>
  <c r="B33" i="7"/>
  <c r="B29" i="7"/>
  <c r="B25" i="7"/>
  <c r="H72" i="7"/>
  <c r="H65" i="7"/>
  <c r="G53" i="7"/>
  <c r="E51" i="7"/>
  <c r="H42" i="7"/>
  <c r="K17" i="7"/>
  <c r="I20" i="7"/>
  <c r="I12" i="7"/>
  <c r="C17" i="7"/>
  <c r="C13" i="7"/>
  <c r="K29" i="7"/>
  <c r="I32" i="7"/>
  <c r="E32" i="7"/>
  <c r="C35" i="7"/>
  <c r="C27" i="7"/>
  <c r="H50" i="7"/>
  <c r="C19" i="7"/>
  <c r="K25" i="7"/>
  <c r="E28" i="7"/>
  <c r="G72" i="7"/>
  <c r="G65" i="7"/>
  <c r="I52" i="7"/>
  <c r="D51" i="7"/>
  <c r="G42" i="7"/>
  <c r="J17" i="7"/>
  <c r="H20" i="7"/>
  <c r="H12" i="7"/>
  <c r="B17" i="7"/>
  <c r="B13" i="7"/>
  <c r="J29" i="7"/>
  <c r="H32" i="7"/>
  <c r="D32" i="7"/>
  <c r="B35" i="7"/>
  <c r="B27" i="7"/>
  <c r="D71" i="7"/>
  <c r="D64" i="7"/>
  <c r="G45" i="7"/>
  <c r="E43" i="7"/>
  <c r="K13" i="7"/>
  <c r="I16" i="7"/>
  <c r="C15" i="7"/>
  <c r="C11" i="7"/>
  <c r="I28" i="7"/>
  <c r="C31" i="7"/>
  <c r="C71" i="7"/>
  <c r="D43" i="7"/>
  <c r="B15" i="7"/>
  <c r="D28" i="7"/>
  <c r="C64" i="7"/>
  <c r="J13" i="7"/>
  <c r="B11" i="7"/>
  <c r="B31" i="7"/>
  <c r="G50" i="7"/>
  <c r="H16" i="7"/>
  <c r="J25" i="7"/>
  <c r="I44" i="7"/>
  <c r="B19" i="7"/>
  <c r="H28" i="7"/>
  <c r="H90" i="7"/>
  <c r="J88" i="7"/>
  <c r="I87" i="7"/>
  <c r="C90" i="7"/>
  <c r="E88" i="7"/>
  <c r="D87" i="7"/>
  <c r="H82" i="7"/>
  <c r="J80" i="7"/>
  <c r="I79" i="7"/>
  <c r="C82" i="7"/>
  <c r="E80" i="7"/>
  <c r="C89" i="7"/>
  <c r="C81" i="7"/>
  <c r="J89" i="7"/>
  <c r="I88" i="7"/>
  <c r="H87" i="7"/>
  <c r="E89" i="7"/>
  <c r="D88" i="7"/>
  <c r="C87" i="7"/>
  <c r="J81" i="7"/>
  <c r="I80" i="7"/>
  <c r="H79" i="7"/>
  <c r="E81" i="7"/>
  <c r="D80" i="7"/>
  <c r="H89" i="7"/>
  <c r="D90" i="7"/>
  <c r="E87" i="7"/>
  <c r="H81" i="7"/>
  <c r="D82" i="7"/>
  <c r="J90" i="7"/>
  <c r="I89" i="7"/>
  <c r="H88" i="7"/>
  <c r="E90" i="7"/>
  <c r="D89" i="7"/>
  <c r="C88" i="7"/>
  <c r="J82" i="7"/>
  <c r="I81" i="7"/>
  <c r="H80" i="7"/>
  <c r="E82" i="7"/>
  <c r="D81" i="7"/>
  <c r="C80" i="7"/>
  <c r="I90" i="7"/>
  <c r="J87" i="7"/>
  <c r="I82" i="7"/>
  <c r="J79" i="7"/>
  <c r="AB19" i="2"/>
  <c r="AB12" i="2"/>
  <c r="AB21" i="2"/>
  <c r="AB16" i="2"/>
  <c r="AB11" i="2"/>
  <c r="AB15" i="2"/>
  <c r="AB20" i="2"/>
  <c r="AB13" i="2"/>
  <c r="AB17" i="2"/>
  <c r="AB14" i="2"/>
  <c r="AB18" i="2"/>
  <c r="C39" i="4"/>
  <c r="C38" i="4"/>
  <c r="C40" i="4"/>
  <c r="C37" i="4"/>
  <c r="C41" i="4"/>
  <c r="J11" i="10"/>
  <c r="J12" i="10"/>
  <c r="Z14" i="1"/>
  <c r="Z19" i="1"/>
  <c r="Z15" i="1"/>
  <c r="Z18" i="1"/>
  <c r="Z17" i="1"/>
  <c r="Z16" i="1"/>
</calcChain>
</file>

<file path=xl/sharedStrings.xml><?xml version="1.0" encoding="utf-8"?>
<sst xmlns="http://schemas.openxmlformats.org/spreadsheetml/2006/main" count="1127" uniqueCount="460">
  <si>
    <t>PURMO COMPACT</t>
  </si>
  <si>
    <t>Tüüp</t>
  </si>
  <si>
    <t>21S</t>
  </si>
  <si>
    <t>PURMO KON</t>
  </si>
  <si>
    <t>PK21</t>
  </si>
  <si>
    <t>PK22</t>
  </si>
  <si>
    <t>PK33</t>
  </si>
  <si>
    <t>PK34</t>
  </si>
  <si>
    <t>21s</t>
  </si>
  <si>
    <t>11 R/L</t>
  </si>
  <si>
    <t>33 R/L</t>
  </si>
  <si>
    <t>SA801030</t>
  </si>
  <si>
    <t>SA801040</t>
  </si>
  <si>
    <t>SA801045</t>
  </si>
  <si>
    <t>SA801050</t>
  </si>
  <si>
    <t>SA801060</t>
  </si>
  <si>
    <t>SA801090</t>
  </si>
  <si>
    <t>SA801130</t>
  </si>
  <si>
    <t>SA801140</t>
  </si>
  <si>
    <t>SA801145</t>
  </si>
  <si>
    <t>SA801150</t>
  </si>
  <si>
    <t>SA801160</t>
  </si>
  <si>
    <t>SA801190</t>
  </si>
  <si>
    <t>SA802230</t>
  </si>
  <si>
    <t>SA802240</t>
  </si>
  <si>
    <t>SA802245</t>
  </si>
  <si>
    <t>SA802250</t>
  </si>
  <si>
    <t>SA802260</t>
  </si>
  <si>
    <t>SA802290</t>
  </si>
  <si>
    <t>SA819042</t>
  </si>
  <si>
    <t>SA819007</t>
  </si>
  <si>
    <t>SA820012</t>
  </si>
  <si>
    <t>E03-300</t>
  </si>
  <si>
    <t>E03-600</t>
  </si>
  <si>
    <t>Apolima</t>
  </si>
  <si>
    <t>APO0805</t>
  </si>
  <si>
    <t>APO0806</t>
  </si>
  <si>
    <t>APO1106</t>
  </si>
  <si>
    <t>APO1406</t>
  </si>
  <si>
    <t>APO1708</t>
  </si>
  <si>
    <t>Flores/Tahiti</t>
  </si>
  <si>
    <t>FLO0505</t>
  </si>
  <si>
    <t>FLO0805</t>
  </si>
  <si>
    <t>FLO1205</t>
  </si>
  <si>
    <t>FLO1506</t>
  </si>
  <si>
    <t>Flores Ch/Tahiti</t>
  </si>
  <si>
    <t>FLO0805CH</t>
  </si>
  <si>
    <t>FLO1205CH</t>
  </si>
  <si>
    <t>FLO1506CH</t>
  </si>
  <si>
    <t>FLC0505</t>
  </si>
  <si>
    <t>FLC0805</t>
  </si>
  <si>
    <t>FLC1205</t>
  </si>
  <si>
    <t>FLC1506</t>
  </si>
  <si>
    <t>FLC0805CH</t>
  </si>
  <si>
    <t>FLC1205CH</t>
  </si>
  <si>
    <t>FLC1506CH</t>
  </si>
  <si>
    <t>Java/Novella</t>
  </si>
  <si>
    <t>JAV0705</t>
  </si>
  <si>
    <t>JAV0905</t>
  </si>
  <si>
    <t>JAV1304</t>
  </si>
  <si>
    <t>JAV1305</t>
  </si>
  <si>
    <t>JAV1505</t>
  </si>
  <si>
    <t>Java Silver/Novella</t>
  </si>
  <si>
    <t>JAV0705S</t>
  </si>
  <si>
    <t>JAV0905S</t>
  </si>
  <si>
    <t>JAV1304S</t>
  </si>
  <si>
    <t>JAV1305S</t>
  </si>
  <si>
    <t>RFA69-1</t>
  </si>
  <si>
    <t>RFA70-2</t>
  </si>
  <si>
    <t>RFA75-400</t>
  </si>
  <si>
    <t>4036112</t>
  </si>
  <si>
    <t>Flores C/Tahiti Surf</t>
  </si>
  <si>
    <t>Flores C Ch/Tahiti Surf</t>
  </si>
  <si>
    <t>Type 22</t>
  </si>
  <si>
    <t>-</t>
  </si>
  <si>
    <t>VERTICAL</t>
  </si>
  <si>
    <t>KOS &amp; FARO - HORIZONTAL</t>
  </si>
  <si>
    <t>PURMO CV</t>
  </si>
  <si>
    <t>DELTA TWIN</t>
  </si>
  <si>
    <t>RAL9016</t>
  </si>
  <si>
    <t>27-2100</t>
  </si>
  <si>
    <t>27-2120</t>
  </si>
  <si>
    <t>27-2150</t>
  </si>
  <si>
    <t>27-2180</t>
  </si>
  <si>
    <t>27-2200</t>
  </si>
  <si>
    <t>DELTA ARCHITECTURE</t>
  </si>
  <si>
    <t>23-14-4075</t>
  </si>
  <si>
    <t>23-04-6150</t>
  </si>
  <si>
    <t>23-18-4075</t>
  </si>
  <si>
    <t>23-05-6150</t>
  </si>
  <si>
    <t>23-22-4075</t>
  </si>
  <si>
    <t>23-06-6150</t>
  </si>
  <si>
    <t>23-14-5075</t>
  </si>
  <si>
    <t>23-07-6150</t>
  </si>
  <si>
    <t>23-18-5075</t>
  </si>
  <si>
    <t>23-04-6180</t>
  </si>
  <si>
    <t>23-22-5075</t>
  </si>
  <si>
    <t>23-05-6180</t>
  </si>
  <si>
    <t>23-14-4090</t>
  </si>
  <si>
    <t>23-06-6180</t>
  </si>
  <si>
    <t>23-18-4090</t>
  </si>
  <si>
    <t>23-07-6180</t>
  </si>
  <si>
    <t>23-22-4090</t>
  </si>
  <si>
    <t>23-04-6200</t>
  </si>
  <si>
    <t>23-14-5090</t>
  </si>
  <si>
    <t>23-05-6200</t>
  </si>
  <si>
    <t>23-18-5090</t>
  </si>
  <si>
    <t>23-06-6200</t>
  </si>
  <si>
    <t>23-22-5090</t>
  </si>
  <si>
    <t>23-07-6200</t>
  </si>
  <si>
    <t>23-04-6250</t>
  </si>
  <si>
    <t>23-05-6250</t>
  </si>
  <si>
    <t>23-06-6250</t>
  </si>
  <si>
    <t>23-20-4030</t>
  </si>
  <si>
    <t>23-07-6250</t>
  </si>
  <si>
    <t>23-24-4030</t>
  </si>
  <si>
    <t>23-04-6280</t>
  </si>
  <si>
    <t>23-28-4030</t>
  </si>
  <si>
    <t>23-05-6280</t>
  </si>
  <si>
    <t>23-20-5030</t>
  </si>
  <si>
    <t>23-06-6280</t>
  </si>
  <si>
    <t>23-24-5030</t>
  </si>
  <si>
    <t>23-07-6280</t>
  </si>
  <si>
    <t>23-28-5030</t>
  </si>
  <si>
    <t>23-20-4035</t>
  </si>
  <si>
    <t>23-24-4035</t>
  </si>
  <si>
    <t>23-28-4035</t>
  </si>
  <si>
    <t>23-04-6150 - 23-07-6150</t>
  </si>
  <si>
    <t>23-20-5035</t>
  </si>
  <si>
    <t>23-04-6180 - 23-07-6180</t>
  </si>
  <si>
    <t>23-24-5035</t>
  </si>
  <si>
    <t>23-04-6200 - 23-07-6200</t>
  </si>
  <si>
    <t>23-28-5035</t>
  </si>
  <si>
    <t>23-04-6250 - 23-07-6250</t>
  </si>
  <si>
    <t>23-04-6280 - 23-07-6280</t>
  </si>
  <si>
    <t>04-6100</t>
  </si>
  <si>
    <t>05-6100</t>
  </si>
  <si>
    <t>06-6100</t>
  </si>
  <si>
    <t>07-6100</t>
  </si>
  <si>
    <t>04-6120</t>
  </si>
  <si>
    <t>05-6120</t>
  </si>
  <si>
    <t>06-6120</t>
  </si>
  <si>
    <t>07-6120</t>
  </si>
  <si>
    <t>04-6150</t>
  </si>
  <si>
    <t>05-6150</t>
  </si>
  <si>
    <t>06-6150</t>
  </si>
  <si>
    <t>07-6150</t>
  </si>
  <si>
    <t>04-6180</t>
  </si>
  <si>
    <t>05-6180</t>
  </si>
  <si>
    <t>06-6180</t>
  </si>
  <si>
    <t>07-6180</t>
  </si>
  <si>
    <t>04-6200</t>
  </si>
  <si>
    <t>05-6200</t>
  </si>
  <si>
    <t>06-6200</t>
  </si>
  <si>
    <t>07-6200</t>
  </si>
  <si>
    <t>04-6220</t>
  </si>
  <si>
    <t>05-6220</t>
  </si>
  <si>
    <t>06-6220</t>
  </si>
  <si>
    <t>07-6220</t>
  </si>
  <si>
    <t>04-6250</t>
  </si>
  <si>
    <t>05-6250</t>
  </si>
  <si>
    <t>06-6250</t>
  </si>
  <si>
    <t>07-6250</t>
  </si>
  <si>
    <t>04-6280</t>
  </si>
  <si>
    <t>05-6280</t>
  </si>
  <si>
    <t>06-6280</t>
  </si>
  <si>
    <t>07-6280</t>
  </si>
  <si>
    <t>JAV1505S</t>
  </si>
  <si>
    <t>PURMO HYGIENE COMPACT</t>
  </si>
  <si>
    <t>PURMO HYGIENE CV</t>
  </si>
  <si>
    <t>EUR</t>
  </si>
  <si>
    <t>EUR/Pc.</t>
  </si>
  <si>
    <t>Discount</t>
  </si>
  <si>
    <t>Type</t>
  </si>
  <si>
    <t>Height</t>
  </si>
  <si>
    <t>Accessories</t>
  </si>
  <si>
    <t>Express wall bracket 11-33  (pair+airvent+plug)</t>
  </si>
  <si>
    <t>Floor bracket Monclac  (pc.)</t>
  </si>
  <si>
    <t>Floor bracket SuperStandFix (pc.)</t>
  </si>
  <si>
    <t>SuperStandFix plastic cover (pc.)</t>
  </si>
  <si>
    <t>SuperStandFix plastic vertical pipecover (pc.)</t>
  </si>
  <si>
    <t>Monclac "ski"-bracket (pair+airvent+plug)</t>
  </si>
  <si>
    <t>Package includes express brackets, airvent and plug.</t>
  </si>
  <si>
    <t>Prices without VAT.</t>
  </si>
  <si>
    <t>Prices without VAT</t>
  </si>
  <si>
    <t>Package consists:</t>
  </si>
  <si>
    <t>TYPE10:</t>
  </si>
  <si>
    <t>TYPE11:</t>
  </si>
  <si>
    <t>TYPE21-33:</t>
  </si>
  <si>
    <t>200mm height:</t>
  </si>
  <si>
    <t>Integrated thermostat valve (M30), 2 plugs and airvent, Monclac "ski" brackets</t>
  </si>
  <si>
    <t>Integrated thermostat valve (M30), 2 plugs and airvent, express brackets</t>
  </si>
  <si>
    <r>
      <t xml:space="preserve">Integrated thermostat valve (M30), 2 plugs and airvent. </t>
    </r>
    <r>
      <rPr>
        <b/>
        <sz val="10"/>
        <rFont val="Arial"/>
        <family val="2"/>
      </rPr>
      <t>Brackets must order separately.</t>
    </r>
  </si>
  <si>
    <t>Monclac "ski"wall brackets, type 10, pair</t>
  </si>
  <si>
    <t>Express bracket type 11-33  (pair+airvent+plug)</t>
  </si>
  <si>
    <t>Floor bracket Monclac  (tk.)</t>
  </si>
  <si>
    <t>Floor bracket SuperStandfixPlus (pc.)</t>
  </si>
  <si>
    <t>SuperStandFix plastic cover</t>
  </si>
  <si>
    <t>SuperStandFix plastic vert. pipe cover</t>
  </si>
  <si>
    <t>Monclac "ski" bracket (pair+airvent+plug)</t>
  </si>
  <si>
    <t>Floor bracket Standard for 200mm height radiator</t>
  </si>
  <si>
    <t>Floor bracket DeLuxe for 200mm height radiator</t>
  </si>
  <si>
    <t>Oventrop integrated thermostat valve + airvent+plug</t>
  </si>
  <si>
    <t>Brackets not included.</t>
  </si>
  <si>
    <t>Brackets pair + airvent + plugs</t>
  </si>
  <si>
    <t>Wall bracket 142</t>
  </si>
  <si>
    <t>Wall bracket 214</t>
  </si>
  <si>
    <t>Wall bracket 286</t>
  </si>
  <si>
    <t>Floor bracket 21</t>
  </si>
  <si>
    <t>Floor bracket 22-34</t>
  </si>
  <si>
    <t>TOWEL WARMERS</t>
  </si>
  <si>
    <t>Model</t>
  </si>
  <si>
    <t>Colour</t>
  </si>
  <si>
    <t>Width</t>
  </si>
  <si>
    <t>LVI-code</t>
  </si>
  <si>
    <t>White RAL9016</t>
  </si>
  <si>
    <t>Chrome</t>
  </si>
  <si>
    <t>Silver RAL9006</t>
  </si>
  <si>
    <t>Santorini</t>
  </si>
  <si>
    <t>Kea</t>
  </si>
  <si>
    <t>Ratea</t>
  </si>
  <si>
    <t>Mauritius</t>
  </si>
  <si>
    <t>Apia</t>
  </si>
  <si>
    <t>Elato</t>
  </si>
  <si>
    <t>Muna</t>
  </si>
  <si>
    <t>Adjustable electrical heater 300W</t>
  </si>
  <si>
    <t>Adjustable electrical heater 600W</t>
  </si>
  <si>
    <t>1-way valve, 1-pipe system</t>
  </si>
  <si>
    <t>1-way valve, 2-pipe system</t>
  </si>
  <si>
    <t>1-way valve, 2-pipe system, chrome</t>
  </si>
  <si>
    <t>Brackets are in package</t>
  </si>
  <si>
    <t>Decoratives &amp; VERTICAL</t>
  </si>
  <si>
    <t>Type 21</t>
  </si>
  <si>
    <t>Lenght</t>
  </si>
  <si>
    <t>Type 20</t>
  </si>
  <si>
    <t xml:space="preserve">Package includes wall brackets </t>
  </si>
  <si>
    <t>KOS &amp; FARO VERTICAL</t>
  </si>
  <si>
    <t>KOS</t>
  </si>
  <si>
    <t>FARO</t>
  </si>
  <si>
    <t>TINOS</t>
  </si>
  <si>
    <t>Type 11</t>
  </si>
  <si>
    <t>TINOS &amp; PAROS VERTICAL</t>
  </si>
  <si>
    <t>PURMO NARBONNE</t>
  </si>
  <si>
    <t>PAROS</t>
  </si>
  <si>
    <t>NA11</t>
  </si>
  <si>
    <t>NA22</t>
  </si>
  <si>
    <t>NA23</t>
  </si>
  <si>
    <t>NA34</t>
  </si>
  <si>
    <t>NA35</t>
  </si>
  <si>
    <t>NA58</t>
  </si>
  <si>
    <t>NA46</t>
  </si>
  <si>
    <t>PURMO NARBONNE VT</t>
  </si>
  <si>
    <t>NV10</t>
  </si>
  <si>
    <t>NV11</t>
  </si>
  <si>
    <t>NV20</t>
  </si>
  <si>
    <t>NV21</t>
  </si>
  <si>
    <t>Narbonne V VT</t>
  </si>
  <si>
    <t>Narbonne V</t>
  </si>
  <si>
    <t>PURMO NARBONNE Vertical</t>
  </si>
  <si>
    <t>Floor bracket (finished floor)</t>
  </si>
  <si>
    <t>Floor bracket (raw floor)</t>
  </si>
  <si>
    <t>SK11, SK13, SK15, SK17</t>
  </si>
  <si>
    <t>SK10, SK12, SK14, SK16, SK18</t>
  </si>
  <si>
    <t>Wall bracket WK10, WK11, WK12, WK13</t>
  </si>
  <si>
    <t>Wall bracket cover</t>
  </si>
  <si>
    <t>Floor braclet cover</t>
  </si>
  <si>
    <t>Wall bracket vertical WA10, WA11</t>
  </si>
  <si>
    <t>Colour surcharge</t>
  </si>
  <si>
    <t>API1105</t>
  </si>
  <si>
    <t>API1106</t>
  </si>
  <si>
    <t>API1108</t>
  </si>
  <si>
    <t>API1109</t>
  </si>
  <si>
    <t>API1805</t>
  </si>
  <si>
    <t>API1806</t>
  </si>
  <si>
    <t>API1808</t>
  </si>
  <si>
    <t>API1809</t>
  </si>
  <si>
    <t>MAU1205</t>
  </si>
  <si>
    <t>MAU1206</t>
  </si>
  <si>
    <t>MAU1208</t>
  </si>
  <si>
    <t>MAU1209</t>
  </si>
  <si>
    <t>MAU1805</t>
  </si>
  <si>
    <t>MAU1806</t>
  </si>
  <si>
    <t>MAU1808</t>
  </si>
  <si>
    <t>MAU1809</t>
  </si>
  <si>
    <t>MAU2205</t>
  </si>
  <si>
    <t>MAU2209</t>
  </si>
  <si>
    <t>MAU2208</t>
  </si>
  <si>
    <t>MAU2206</t>
  </si>
  <si>
    <t>RAT0805</t>
  </si>
  <si>
    <t>RAT0806</t>
  </si>
  <si>
    <t>RAT0808</t>
  </si>
  <si>
    <t>RAT1205</t>
  </si>
  <si>
    <t>RAT1206</t>
  </si>
  <si>
    <t>RAT1208</t>
  </si>
  <si>
    <t>RAT1805</t>
  </si>
  <si>
    <t>RAT1806</t>
  </si>
  <si>
    <t>RAT1808</t>
  </si>
  <si>
    <t>KEA1006</t>
  </si>
  <si>
    <t>KEA1306</t>
  </si>
  <si>
    <t>KEA1308</t>
  </si>
  <si>
    <t>KEA1506</t>
  </si>
  <si>
    <t>KEA1508</t>
  </si>
  <si>
    <t>KEA1509</t>
  </si>
  <si>
    <t>KEA1808</t>
  </si>
  <si>
    <t>KEA1809</t>
  </si>
  <si>
    <t>Imia</t>
  </si>
  <si>
    <t>IMI1605</t>
  </si>
  <si>
    <t>IMI1608</t>
  </si>
  <si>
    <t>IMI1610</t>
  </si>
  <si>
    <t>IMI1805</t>
  </si>
  <si>
    <t>IMI1808</t>
  </si>
  <si>
    <t>IMI1810</t>
  </si>
  <si>
    <t>IMI1812</t>
  </si>
  <si>
    <t>MUA0508</t>
  </si>
  <si>
    <t>MUA0710</t>
  </si>
  <si>
    <t>MUA0712</t>
  </si>
  <si>
    <t>MUA0905</t>
  </si>
  <si>
    <t>MUA1205</t>
  </si>
  <si>
    <t>MUA1605</t>
  </si>
  <si>
    <t>MUA1706</t>
  </si>
  <si>
    <t>MUA1708</t>
  </si>
  <si>
    <t>MUA2008</t>
  </si>
  <si>
    <t>ELA0805</t>
  </si>
  <si>
    <t>ELA1105</t>
  </si>
  <si>
    <t>ELA1106</t>
  </si>
  <si>
    <t>ELA1405</t>
  </si>
  <si>
    <t>ELA1406</t>
  </si>
  <si>
    <t>ELA1706</t>
  </si>
  <si>
    <t>SAN0704</t>
  </si>
  <si>
    <t>SAN0705</t>
  </si>
  <si>
    <t>SAN0706</t>
  </si>
  <si>
    <t>SAN0707</t>
  </si>
  <si>
    <t>SAN0709</t>
  </si>
  <si>
    <t>SAN1104</t>
  </si>
  <si>
    <t>SAN1105</t>
  </si>
  <si>
    <t>SAN1106</t>
  </si>
  <si>
    <t>SAN1107</t>
  </si>
  <si>
    <t>SAN1109</t>
  </si>
  <si>
    <t>SAN1505</t>
  </si>
  <si>
    <t>SAN1506</t>
  </si>
  <si>
    <t>SAN1507</t>
  </si>
  <si>
    <t>SAN1509</t>
  </si>
  <si>
    <t>SAN1805</t>
  </si>
  <si>
    <t>SAN1806</t>
  </si>
  <si>
    <t>SAN1807</t>
  </si>
  <si>
    <t>SAN1809</t>
  </si>
  <si>
    <t>SAC0704</t>
  </si>
  <si>
    <t>SAC0705</t>
  </si>
  <si>
    <t>SAC0706</t>
  </si>
  <si>
    <t>SAC0707</t>
  </si>
  <si>
    <t>SAC0709</t>
  </si>
  <si>
    <t>SAC1104</t>
  </si>
  <si>
    <t>SAC1105</t>
  </si>
  <si>
    <t>SAC1106</t>
  </si>
  <si>
    <t>SAC1107</t>
  </si>
  <si>
    <t>SAC1109</t>
  </si>
  <si>
    <t>SAC1505</t>
  </si>
  <si>
    <t>SAC1507</t>
  </si>
  <si>
    <t>SAC1509</t>
  </si>
  <si>
    <t>SAC1805</t>
  </si>
  <si>
    <t>SAC1806</t>
  </si>
  <si>
    <t>SAC1807</t>
  </si>
  <si>
    <t>SAC1809</t>
  </si>
  <si>
    <t>SAC1506</t>
  </si>
  <si>
    <t>200mm height, two sides flat</t>
  </si>
  <si>
    <t>Without VAT</t>
  </si>
  <si>
    <t>EUR /Pc.</t>
  </si>
  <si>
    <t>Ribs</t>
  </si>
  <si>
    <t>Extras</t>
  </si>
  <si>
    <t>Metallic colour surcharge</t>
  </si>
  <si>
    <t>2nd hanging rail RAL 9016</t>
  </si>
  <si>
    <t>2nd hanging rail other colour</t>
  </si>
  <si>
    <t>Delta Architecture - Bar</t>
  </si>
  <si>
    <t>Delta Architecture Bench - horizontal ribs</t>
  </si>
  <si>
    <t>Delta Architecture Bench - vertical ribs</t>
  </si>
  <si>
    <t>Delta Architecture -top wooden plate</t>
  </si>
  <si>
    <t>Types</t>
  </si>
  <si>
    <t>Thickness</t>
  </si>
  <si>
    <t>Delta Architecture Bench External - horizontal ribs</t>
  </si>
  <si>
    <t>Electrical heater</t>
  </si>
  <si>
    <t>Monclac "ski" wall brackets (pair)</t>
  </si>
  <si>
    <t>Item code</t>
  </si>
  <si>
    <t>Type 10</t>
  </si>
  <si>
    <t>Type 21-33</t>
  </si>
  <si>
    <t>ACCESSORIES</t>
  </si>
  <si>
    <t>Top grill</t>
  </si>
  <si>
    <t>Floor bracket Monclac 22-33</t>
  </si>
  <si>
    <t>Floor bracket Monclac 21</t>
  </si>
  <si>
    <t>Extra part to Monclac, type 11</t>
  </si>
  <si>
    <t>Insert valve + plug</t>
  </si>
  <si>
    <t>Airvent + plug</t>
  </si>
  <si>
    <t>Side covers</t>
  </si>
  <si>
    <t>Wall bracket WA10, WA11 (set)</t>
  </si>
  <si>
    <t>For limited sizes according to catalogue</t>
  </si>
  <si>
    <t>Floor bracket Standard 200mm plastic cover</t>
  </si>
  <si>
    <t>Santorini Curve</t>
  </si>
  <si>
    <t>Monclac "ski" brackets (pair+airvent+plug) 2pcs.</t>
  </si>
  <si>
    <t>White RAL9017</t>
  </si>
  <si>
    <t>JAV1706</t>
  </si>
  <si>
    <t>Type 33</t>
  </si>
  <si>
    <t>VIDO</t>
  </si>
  <si>
    <t>2-pipe system - heating and cooling</t>
  </si>
  <si>
    <t>4-pipe system - heating and cooling</t>
  </si>
  <si>
    <t xml:space="preserve">Integrated thermostat valve (M30), </t>
  </si>
  <si>
    <t>2 plugs and airvent, express brackets</t>
  </si>
  <si>
    <t>Integrated thermostat valve (M30),</t>
  </si>
  <si>
    <t>2 plugs and airvent, Monclac "ski" brackets</t>
  </si>
  <si>
    <r>
      <t xml:space="preserve"> 2 plugs and airvent.</t>
    </r>
    <r>
      <rPr>
        <b/>
        <sz val="10"/>
        <rFont val="Arial"/>
        <family val="2"/>
        <charset val="186"/>
      </rPr>
      <t xml:space="preserve"> Brackets must order separately.</t>
    </r>
  </si>
  <si>
    <t>RAMO CV</t>
  </si>
  <si>
    <t>PLAN COMPACT</t>
  </si>
  <si>
    <t>RAMO COMPACT</t>
  </si>
  <si>
    <t>VENTIL COMPACT PPCV</t>
  </si>
  <si>
    <t xml:space="preserve">Package includes express brackets, </t>
  </si>
  <si>
    <t>airvent and plug.</t>
  </si>
  <si>
    <t>PURMO PLAN HYGIENE COMPACT</t>
  </si>
  <si>
    <t>PURMO PLAN HYGIENE CV</t>
  </si>
  <si>
    <t>January 2017</t>
  </si>
  <si>
    <t>PURMO CVM middle</t>
  </si>
  <si>
    <t>PURMO Plan CVM middle</t>
  </si>
  <si>
    <t>DELTA TWIN - bathroom radiator</t>
  </si>
  <si>
    <t xml:space="preserve">AIR11           </t>
  </si>
  <si>
    <t xml:space="preserve">AIR 11                        </t>
  </si>
  <si>
    <t xml:space="preserve">AIR21           </t>
  </si>
  <si>
    <t xml:space="preserve">AIR 21                        </t>
  </si>
  <si>
    <t xml:space="preserve">AIR22           </t>
  </si>
  <si>
    <t xml:space="preserve">AIR 22                        </t>
  </si>
  <si>
    <t xml:space="preserve">AIRF200         </t>
  </si>
  <si>
    <t xml:space="preserve">AIR FILTER F9                 </t>
  </si>
  <si>
    <t xml:space="preserve">AIRF201         </t>
  </si>
  <si>
    <t xml:space="preserve">AIR FILTER BASIC G1           </t>
  </si>
  <si>
    <t xml:space="preserve">AIRF202         </t>
  </si>
  <si>
    <t xml:space="preserve">AIR FILTER F7                 </t>
  </si>
  <si>
    <t xml:space="preserve">AIRT300         </t>
  </si>
  <si>
    <t xml:space="preserve">AIR TELESCOPE 300             </t>
  </si>
  <si>
    <t xml:space="preserve">AIRT500         </t>
  </si>
  <si>
    <t xml:space="preserve">AIR TELESCOPE 500             </t>
  </si>
  <si>
    <t xml:space="preserve">AIR007          </t>
  </si>
  <si>
    <t xml:space="preserve">Spacer Air (pair)        </t>
  </si>
  <si>
    <t>Code</t>
  </si>
  <si>
    <t>AIR</t>
  </si>
  <si>
    <t xml:space="preserve">AIR1 100/105x260-500 Telescope </t>
  </si>
  <si>
    <t>AIR T2 ljud 200-350 mm grid</t>
  </si>
  <si>
    <t>AIR T2 ljud 351-500 mm grid</t>
  </si>
  <si>
    <t>AIR T2 ljud 501-700 mm grid</t>
  </si>
  <si>
    <t>AIR T3 ljud 200-350 mm grid</t>
  </si>
  <si>
    <t>AIR T3 ljud 351-500 mm grid</t>
  </si>
  <si>
    <t>AIR T3 ljud 501-700 mm grid</t>
  </si>
  <si>
    <t xml:space="preserve">AIR T1 35x250x200-380 grid  </t>
  </si>
  <si>
    <t xml:space="preserve">AIR3-102 102/143x400 pipe silencer  </t>
  </si>
  <si>
    <t xml:space="preserve">AIR3-102 102/143x300 baffel   </t>
  </si>
  <si>
    <t xml:space="preserve">AIR2-102 102/143x300          </t>
  </si>
  <si>
    <t xml:space="preserve">AIR2-102 102/143x400          </t>
  </si>
  <si>
    <t>YG042 round 150/100 galvanized outer grill</t>
  </si>
  <si>
    <t>YG043round 175/100 galvanized outer grill</t>
  </si>
  <si>
    <t>YG030 square 145/100 galvanized outer grill</t>
  </si>
  <si>
    <t>YG035 square 145/100 galvanized outer grill</t>
  </si>
  <si>
    <t>YG027 square 135/100 galvanized outer grill</t>
  </si>
  <si>
    <t>YG028 square 135/100 galvanized outer grill</t>
  </si>
  <si>
    <t>separately.</t>
  </si>
  <si>
    <r>
      <t xml:space="preserve"> 2 plugs and airvent.</t>
    </r>
    <r>
      <rPr>
        <b/>
        <sz val="10"/>
        <rFont val="Arial"/>
        <family val="2"/>
        <charset val="186"/>
      </rPr>
      <t xml:space="preserve"> Brackets must order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</si>
</sst>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69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86"/>
    </font>
    <font>
      <b/>
      <sz val="8"/>
      <color indexed="9"/>
      <name val="Tahoma"/>
      <family val="2"/>
    </font>
    <font>
      <b/>
      <sz val="7"/>
      <color indexed="9"/>
      <name val="Tahoma"/>
      <family val="2"/>
    </font>
    <font>
      <b/>
      <sz val="7"/>
      <name val="Tahoma"/>
      <family val="2"/>
    </font>
    <font>
      <b/>
      <sz val="7"/>
      <name val="Tahoma"/>
      <family val="2"/>
      <charset val="186"/>
    </font>
    <font>
      <sz val="10"/>
      <color indexed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Verdana"/>
      <family val="2"/>
    </font>
    <font>
      <sz val="10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8"/>
      <name val="Arial"/>
      <family val="2"/>
      <charset val="186"/>
    </font>
    <font>
      <b/>
      <sz val="10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</font>
    <font>
      <b/>
      <sz val="7"/>
      <name val="Verdana"/>
      <family val="2"/>
      <charset val="186"/>
    </font>
    <font>
      <b/>
      <sz val="7"/>
      <color indexed="9"/>
      <name val="Verdana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color indexed="9"/>
      <name val="Tahoma"/>
      <family val="2"/>
      <charset val="186"/>
    </font>
    <font>
      <b/>
      <sz val="10"/>
      <name val="Tahoma"/>
      <family val="2"/>
      <charset val="186"/>
    </font>
    <font>
      <sz val="10"/>
      <color theme="0"/>
      <name val="Arial"/>
      <family val="2"/>
      <charset val="186"/>
    </font>
    <font>
      <sz val="10"/>
      <color theme="0"/>
      <name val="Tahoma"/>
      <family val="2"/>
    </font>
    <font>
      <sz val="10"/>
      <name val="Arial"/>
      <family val="2"/>
      <charset val="186"/>
    </font>
    <font>
      <sz val="10"/>
      <name val="Tahoma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Verdana"/>
      <family val="2"/>
    </font>
    <font>
      <b/>
      <sz val="7"/>
      <color theme="0"/>
      <name val="Verdana"/>
      <family val="2"/>
    </font>
    <font>
      <sz val="10"/>
      <color indexed="8"/>
      <name val="Arial"/>
      <family val="2"/>
    </font>
    <font>
      <b/>
      <i/>
      <sz val="8"/>
      <name val="Tahoma"/>
      <family val="2"/>
    </font>
    <font>
      <b/>
      <sz val="12"/>
      <name val="Tahoma"/>
      <family val="2"/>
      <charset val="186"/>
    </font>
    <font>
      <sz val="10"/>
      <name val="Arial CE"/>
      <charset val="238"/>
    </font>
    <font>
      <sz val="7"/>
      <color theme="1"/>
      <name val="Tahoma"/>
      <family val="2"/>
    </font>
    <font>
      <sz val="10"/>
      <color theme="1"/>
      <name val="Tahoma"/>
      <family val="2"/>
      <charset val="186"/>
    </font>
    <font>
      <sz val="9"/>
      <name val="Arial"/>
      <family val="2"/>
    </font>
    <font>
      <b/>
      <sz val="10"/>
      <color theme="0"/>
      <name val="Verdana"/>
      <family val="2"/>
    </font>
    <font>
      <sz val="9"/>
      <name val="Tahoma"/>
      <family val="2"/>
    </font>
    <font>
      <sz val="7"/>
      <color theme="0"/>
      <name val="Tahoma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0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4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51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0" fontId="57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8" fillId="0" borderId="0"/>
  </cellStyleXfs>
  <cellXfs count="762">
    <xf numFmtId="0" fontId="0" fillId="0" borderId="0" xfId="0"/>
    <xf numFmtId="0" fontId="0" fillId="0" borderId="0" xfId="0" applyAlignment="1"/>
    <xf numFmtId="0" fontId="0" fillId="0" borderId="0" xfId="0" applyFill="1"/>
    <xf numFmtId="0" fontId="15" fillId="0" borderId="0" xfId="0" applyNumberFormat="1" applyFont="1" applyFill="1" applyBorder="1" applyAlignment="1" applyProtection="1">
      <alignment horizontal="center"/>
      <protection hidden="1"/>
    </xf>
    <xf numFmtId="9" fontId="13" fillId="0" borderId="0" xfId="0" applyNumberFormat="1" applyFont="1" applyAlignment="1" applyProtection="1">
      <protection hidden="1"/>
    </xf>
    <xf numFmtId="0" fontId="22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20" fillId="0" borderId="0" xfId="0" applyFont="1" applyAlignment="1" applyProtection="1">
      <protection hidden="1"/>
    </xf>
    <xf numFmtId="14" fontId="22" fillId="0" borderId="0" xfId="0" quotePrefix="1" applyNumberFormat="1" applyFont="1" applyAlignment="1" applyProtection="1">
      <alignment horizontal="right"/>
      <protection hidden="1"/>
    </xf>
    <xf numFmtId="9" fontId="19" fillId="0" borderId="0" xfId="0" applyNumberFormat="1" applyFont="1" applyAlignment="1" applyProtection="1">
      <protection hidden="1"/>
    </xf>
    <xf numFmtId="0" fontId="0" fillId="0" borderId="0" xfId="0" applyProtection="1">
      <protection hidden="1"/>
    </xf>
    <xf numFmtId="0" fontId="23" fillId="0" borderId="0" xfId="0" applyFont="1" applyAlignment="1" applyProtection="1"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  <xf numFmtId="0" fontId="23" fillId="0" borderId="8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23" fillId="0" borderId="13" xfId="0" applyFont="1" applyBorder="1" applyAlignment="1" applyProtection="1">
      <protection hidden="1"/>
    </xf>
    <xf numFmtId="0" fontId="23" fillId="0" borderId="14" xfId="0" applyFont="1" applyBorder="1" applyAlignment="1" applyProtection="1">
      <alignment horizontal="center"/>
      <protection hidden="1"/>
    </xf>
    <xf numFmtId="3" fontId="19" fillId="0" borderId="16" xfId="0" applyNumberFormat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3" fontId="19" fillId="0" borderId="18" xfId="0" applyNumberFormat="1" applyFont="1" applyBorder="1" applyAlignment="1" applyProtection="1">
      <alignment horizont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21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19" fillId="0" borderId="22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protection hidden="1"/>
    </xf>
    <xf numFmtId="0" fontId="19" fillId="0" borderId="5" xfId="0" applyFont="1" applyBorder="1" applyAlignment="1" applyProtection="1">
      <protection hidden="1"/>
    </xf>
    <xf numFmtId="0" fontId="23" fillId="0" borderId="25" xfId="0" applyFont="1" applyBorder="1" applyAlignment="1" applyProtection="1">
      <alignment horizontal="center"/>
      <protection hidden="1"/>
    </xf>
    <xf numFmtId="3" fontId="19" fillId="0" borderId="10" xfId="0" applyNumberFormat="1" applyFont="1" applyBorder="1" applyAlignment="1" applyProtection="1">
      <protection hidden="1"/>
    </xf>
    <xf numFmtId="0" fontId="19" fillId="0" borderId="20" xfId="0" applyFont="1" applyBorder="1" applyAlignment="1" applyProtection="1">
      <protection hidden="1"/>
    </xf>
    <xf numFmtId="0" fontId="19" fillId="0" borderId="2" xfId="0" applyFont="1" applyBorder="1" applyAlignment="1" applyProtection="1">
      <alignment horizontal="center"/>
      <protection hidden="1"/>
    </xf>
    <xf numFmtId="3" fontId="19" fillId="0" borderId="26" xfId="0" applyNumberFormat="1" applyFont="1" applyBorder="1" applyAlignment="1" applyProtection="1">
      <protection hidden="1"/>
    </xf>
    <xf numFmtId="0" fontId="19" fillId="0" borderId="27" xfId="0" applyFont="1" applyBorder="1" applyAlignment="1" applyProtection="1">
      <protection hidden="1"/>
    </xf>
    <xf numFmtId="3" fontId="19" fillId="0" borderId="24" xfId="0" applyNumberFormat="1" applyFont="1" applyBorder="1" applyAlignment="1" applyProtection="1">
      <protection hidden="1"/>
    </xf>
    <xf numFmtId="0" fontId="19" fillId="0" borderId="28" xfId="0" applyFont="1" applyBorder="1" applyAlignment="1" applyProtection="1"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9" fontId="23" fillId="0" borderId="0" xfId="2" applyFont="1" applyAlignment="1" applyProtection="1">
      <alignment horizontal="left"/>
      <protection locked="0"/>
    </xf>
    <xf numFmtId="0" fontId="6" fillId="0" borderId="0" xfId="1" applyFont="1" applyFill="1" applyBorder="1" applyProtection="1">
      <protection hidden="1"/>
    </xf>
    <xf numFmtId="0" fontId="0" fillId="0" borderId="0" xfId="0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14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protection hidden="1"/>
    </xf>
    <xf numFmtId="0" fontId="14" fillId="3" borderId="29" xfId="0" applyFont="1" applyFill="1" applyBorder="1" applyAlignment="1" applyProtection="1">
      <alignment horizontal="center"/>
      <protection hidden="1"/>
    </xf>
    <xf numFmtId="0" fontId="14" fillId="3" borderId="30" xfId="0" applyFont="1" applyFill="1" applyBorder="1" applyAlignment="1" applyProtection="1">
      <alignment horizontal="center"/>
      <protection hidden="1"/>
    </xf>
    <xf numFmtId="0" fontId="14" fillId="3" borderId="31" xfId="0" applyFont="1" applyFill="1" applyBorder="1" applyAlignment="1" applyProtection="1">
      <alignment horizontal="center"/>
      <protection hidden="1"/>
    </xf>
    <xf numFmtId="0" fontId="16" fillId="3" borderId="32" xfId="0" applyFont="1" applyFill="1" applyBorder="1" applyAlignment="1" applyProtection="1">
      <alignment horizontal="center"/>
      <protection hidden="1"/>
    </xf>
    <xf numFmtId="0" fontId="16" fillId="3" borderId="33" xfId="0" applyFont="1" applyFill="1" applyBorder="1" applyAlignment="1" applyProtection="1">
      <alignment horizontal="center"/>
      <protection hidden="1"/>
    </xf>
    <xf numFmtId="0" fontId="16" fillId="3" borderId="34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164" fontId="17" fillId="0" borderId="0" xfId="0" applyNumberFormat="1" applyFont="1" applyFill="1" applyBorder="1" applyAlignment="1" applyProtection="1">
      <alignment horizontal="center"/>
      <protection hidden="1"/>
    </xf>
    <xf numFmtId="0" fontId="14" fillId="0" borderId="35" xfId="0" applyFont="1" applyBorder="1" applyAlignment="1" applyProtection="1">
      <alignment horizontal="center"/>
      <protection hidden="1"/>
    </xf>
    <xf numFmtId="3" fontId="14" fillId="0" borderId="35" xfId="0" applyNumberFormat="1" applyFont="1" applyBorder="1" applyAlignment="1" applyProtection="1">
      <alignment horizontal="center"/>
      <protection hidden="1"/>
    </xf>
    <xf numFmtId="0" fontId="14" fillId="0" borderId="36" xfId="0" applyFont="1" applyBorder="1" applyAlignment="1" applyProtection="1">
      <alignment horizontal="center"/>
      <protection hidden="1"/>
    </xf>
    <xf numFmtId="3" fontId="14" fillId="0" borderId="36" xfId="0" applyNumberFormat="1" applyFont="1" applyBorder="1" applyAlignment="1" applyProtection="1">
      <alignment horizontal="center"/>
      <protection hidden="1"/>
    </xf>
    <xf numFmtId="9" fontId="25" fillId="0" borderId="0" xfId="0" applyNumberFormat="1" applyFont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4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9" fontId="12" fillId="0" borderId="0" xfId="2" applyFont="1" applyAlignment="1" applyProtection="1">
      <alignment horizontal="center"/>
      <protection locked="0"/>
    </xf>
    <xf numFmtId="0" fontId="8" fillId="2" borderId="0" xfId="0" applyFont="1" applyFill="1" applyAlignment="1" applyProtection="1">
      <protection hidden="1"/>
    </xf>
    <xf numFmtId="0" fontId="8" fillId="0" borderId="0" xfId="0" applyFont="1" applyAlignment="1" applyProtection="1">
      <protection hidden="1"/>
    </xf>
    <xf numFmtId="9" fontId="0" fillId="0" borderId="0" xfId="0" applyNumberFormat="1" applyAlignment="1" applyProtection="1"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3" fontId="11" fillId="0" borderId="1" xfId="0" applyNumberFormat="1" applyFont="1" applyBorder="1" applyAlignment="1" applyProtection="1">
      <protection hidden="1"/>
    </xf>
    <xf numFmtId="3" fontId="11" fillId="0" borderId="2" xfId="0" applyNumberFormat="1" applyFont="1" applyBorder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3" fontId="11" fillId="0" borderId="3" xfId="0" applyNumberFormat="1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12" fillId="0" borderId="39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protection hidden="1"/>
    </xf>
    <xf numFmtId="0" fontId="6" fillId="0" borderId="20" xfId="0" applyFont="1" applyBorder="1" applyAlignment="1" applyProtection="1">
      <protection hidden="1"/>
    </xf>
    <xf numFmtId="0" fontId="6" fillId="0" borderId="12" xfId="0" applyFont="1" applyBorder="1" applyAlignment="1" applyProtection="1">
      <alignment horizontal="center"/>
      <protection hidden="1"/>
    </xf>
    <xf numFmtId="3" fontId="6" fillId="0" borderId="10" xfId="0" applyNumberFormat="1" applyFont="1" applyBorder="1" applyAlignment="1" applyProtection="1">
      <protection hidden="1"/>
    </xf>
    <xf numFmtId="0" fontId="6" fillId="0" borderId="41" xfId="0" applyFont="1" applyBorder="1" applyAlignment="1" applyProtection="1">
      <protection hidden="1"/>
    </xf>
    <xf numFmtId="3" fontId="6" fillId="0" borderId="24" xfId="0" applyNumberFormat="1" applyFont="1" applyBorder="1" applyAlignment="1" applyProtection="1">
      <protection hidden="1"/>
    </xf>
    <xf numFmtId="0" fontId="6" fillId="0" borderId="28" xfId="0" applyFont="1" applyBorder="1" applyAlignment="1" applyProtection="1">
      <protection hidden="1"/>
    </xf>
    <xf numFmtId="17" fontId="10" fillId="0" borderId="0" xfId="0" quotePrefix="1" applyNumberFormat="1" applyFont="1" applyAlignment="1" applyProtection="1">
      <alignment horizontal="right"/>
      <protection hidden="1"/>
    </xf>
    <xf numFmtId="0" fontId="0" fillId="0" borderId="0" xfId="0" applyBorder="1"/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0" fillId="0" borderId="11" xfId="0" applyBorder="1" applyProtection="1">
      <protection hidden="1"/>
    </xf>
    <xf numFmtId="0" fontId="6" fillId="0" borderId="12" xfId="0" applyFont="1" applyBorder="1" applyAlignment="1" applyProtection="1">
      <protection hidden="1"/>
    </xf>
    <xf numFmtId="0" fontId="9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9" fontId="7" fillId="0" borderId="0" xfId="0" applyNumberFormat="1" applyFont="1" applyAlignment="1" applyProtection="1">
      <protection hidden="1"/>
    </xf>
    <xf numFmtId="0" fontId="12" fillId="0" borderId="0" xfId="1" applyFont="1" applyFill="1" applyBorder="1" applyProtection="1">
      <protection hidden="1"/>
    </xf>
    <xf numFmtId="0" fontId="18" fillId="0" borderId="0" xfId="1" applyFont="1" applyProtection="1">
      <protection hidden="1"/>
    </xf>
    <xf numFmtId="0" fontId="26" fillId="4" borderId="43" xfId="1" applyFont="1" applyFill="1" applyBorder="1" applyProtection="1">
      <protection hidden="1"/>
    </xf>
    <xf numFmtId="0" fontId="26" fillId="4" borderId="43" xfId="1" applyFont="1" applyFill="1" applyBorder="1" applyAlignment="1" applyProtection="1">
      <alignment horizontal="center"/>
      <protection hidden="1"/>
    </xf>
    <xf numFmtId="0" fontId="26" fillId="4" borderId="17" xfId="1" applyFont="1" applyFill="1" applyBorder="1" applyAlignment="1" applyProtection="1">
      <alignment horizontal="left"/>
      <protection hidden="1"/>
    </xf>
    <xf numFmtId="0" fontId="26" fillId="4" borderId="17" xfId="1" applyFont="1" applyFill="1" applyBorder="1" applyAlignment="1" applyProtection="1">
      <alignment horizontal="center"/>
      <protection hidden="1"/>
    </xf>
    <xf numFmtId="0" fontId="18" fillId="0" borderId="43" xfId="1" applyFont="1" applyBorder="1" applyProtection="1">
      <protection hidden="1"/>
    </xf>
    <xf numFmtId="0" fontId="18" fillId="0" borderId="44" xfId="1" applyFont="1" applyBorder="1" applyProtection="1">
      <protection hidden="1"/>
    </xf>
    <xf numFmtId="0" fontId="18" fillId="0" borderId="17" xfId="1" applyFont="1" applyBorder="1" applyProtection="1">
      <protection hidden="1"/>
    </xf>
    <xf numFmtId="0" fontId="18" fillId="0" borderId="44" xfId="1" applyFont="1" applyFill="1" applyBorder="1" applyAlignment="1" applyProtection="1">
      <alignment horizontal="left"/>
      <protection hidden="1"/>
    </xf>
    <xf numFmtId="0" fontId="18" fillId="0" borderId="17" xfId="1" applyFont="1" applyFill="1" applyBorder="1" applyAlignment="1" applyProtection="1">
      <alignment horizontal="left"/>
      <protection hidden="1"/>
    </xf>
    <xf numFmtId="0" fontId="18" fillId="0" borderId="44" xfId="1" applyFont="1" applyBorder="1" applyAlignment="1" applyProtection="1">
      <alignment horizontal="left"/>
      <protection hidden="1"/>
    </xf>
    <xf numFmtId="4" fontId="18" fillId="0" borderId="44" xfId="1" applyNumberFormat="1" applyFont="1" applyFill="1" applyBorder="1" applyAlignment="1" applyProtection="1">
      <alignment horizontal="left"/>
      <protection hidden="1"/>
    </xf>
    <xf numFmtId="0" fontId="18" fillId="0" borderId="44" xfId="1" applyNumberFormat="1" applyFont="1" applyFill="1" applyBorder="1" applyAlignment="1" applyProtection="1">
      <alignment horizontal="center"/>
      <protection hidden="1"/>
    </xf>
    <xf numFmtId="0" fontId="18" fillId="0" borderId="17" xfId="1" applyFont="1" applyBorder="1" applyAlignment="1" applyProtection="1">
      <alignment horizontal="left"/>
      <protection hidden="1"/>
    </xf>
    <xf numFmtId="4" fontId="18" fillId="0" borderId="17" xfId="1" applyNumberFormat="1" applyFont="1" applyFill="1" applyBorder="1" applyAlignment="1" applyProtection="1">
      <alignment horizontal="left"/>
      <protection hidden="1"/>
    </xf>
    <xf numFmtId="0" fontId="18" fillId="0" borderId="17" xfId="1" applyNumberFormat="1" applyFont="1" applyFill="1" applyBorder="1" applyAlignment="1" applyProtection="1">
      <alignment horizontal="center"/>
      <protection hidden="1"/>
    </xf>
    <xf numFmtId="0" fontId="18" fillId="0" borderId="0" xfId="1" applyFont="1" applyFill="1" applyBorder="1" applyAlignment="1" applyProtection="1">
      <alignment horizontal="left"/>
      <protection hidden="1"/>
    </xf>
    <xf numFmtId="0" fontId="18" fillId="0" borderId="0" xfId="1" applyFont="1" applyBorder="1" applyProtection="1">
      <protection hidden="1"/>
    </xf>
    <xf numFmtId="0" fontId="27" fillId="0" borderId="0" xfId="1" applyFont="1" applyFill="1" applyBorder="1" applyProtection="1">
      <protection hidden="1"/>
    </xf>
    <xf numFmtId="0" fontId="18" fillId="0" borderId="45" xfId="1" applyFont="1" applyFill="1" applyBorder="1" applyAlignment="1" applyProtection="1">
      <alignment horizontal="center"/>
      <protection hidden="1"/>
    </xf>
    <xf numFmtId="0" fontId="18" fillId="0" borderId="47" xfId="1" applyFont="1" applyFill="1" applyBorder="1" applyAlignment="1" applyProtection="1">
      <alignment horizontal="center"/>
      <protection hidden="1"/>
    </xf>
    <xf numFmtId="0" fontId="18" fillId="0" borderId="48" xfId="1" applyFont="1" applyFill="1" applyBorder="1" applyAlignment="1" applyProtection="1">
      <alignment horizontal="center"/>
      <protection hidden="1"/>
    </xf>
    <xf numFmtId="0" fontId="18" fillId="0" borderId="43" xfId="1" applyFont="1" applyFill="1" applyBorder="1" applyAlignment="1" applyProtection="1">
      <alignment horizontal="left"/>
      <protection hidden="1"/>
    </xf>
    <xf numFmtId="0" fontId="18" fillId="0" borderId="49" xfId="1" applyFont="1" applyFill="1" applyBorder="1" applyAlignment="1" applyProtection="1">
      <alignment horizontal="center"/>
      <protection hidden="1"/>
    </xf>
    <xf numFmtId="0" fontId="28" fillId="0" borderId="0" xfId="1" applyFont="1" applyProtection="1">
      <protection hidden="1"/>
    </xf>
    <xf numFmtId="0" fontId="18" fillId="0" borderId="43" xfId="1" applyNumberFormat="1" applyFont="1" applyFill="1" applyBorder="1" applyAlignment="1" applyProtection="1">
      <alignment horizontal="center"/>
      <protection hidden="1"/>
    </xf>
    <xf numFmtId="0" fontId="7" fillId="4" borderId="0" xfId="1" applyFont="1" applyFill="1" applyBorder="1" applyProtection="1">
      <protection hidden="1"/>
    </xf>
    <xf numFmtId="0" fontId="29" fillId="4" borderId="0" xfId="0" applyFont="1" applyFill="1"/>
    <xf numFmtId="0" fontId="26" fillId="4" borderId="11" xfId="1" applyFont="1" applyFill="1" applyBorder="1" applyAlignment="1" applyProtection="1">
      <alignment horizontal="left"/>
      <protection hidden="1"/>
    </xf>
    <xf numFmtId="0" fontId="26" fillId="4" borderId="51" xfId="1" applyFont="1" applyFill="1" applyBorder="1" applyAlignment="1" applyProtection="1">
      <alignment horizontal="center"/>
      <protection hidden="1"/>
    </xf>
    <xf numFmtId="0" fontId="26" fillId="4" borderId="11" xfId="1" applyFont="1" applyFill="1" applyBorder="1" applyAlignment="1" applyProtection="1">
      <alignment horizontal="center"/>
      <protection hidden="1"/>
    </xf>
    <xf numFmtId="0" fontId="26" fillId="4" borderId="38" xfId="1" applyFont="1" applyFill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3" fontId="6" fillId="0" borderId="20" xfId="0" applyNumberFormat="1" applyFont="1" applyBorder="1" applyAlignment="1" applyProtection="1">
      <protection hidden="1"/>
    </xf>
    <xf numFmtId="0" fontId="6" fillId="0" borderId="48" xfId="0" applyFont="1" applyBorder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0" fillId="0" borderId="8" xfId="0" applyBorder="1" applyAlignment="1"/>
    <xf numFmtId="0" fontId="0" fillId="0" borderId="20" xfId="0" applyBorder="1" applyAlignment="1"/>
    <xf numFmtId="0" fontId="0" fillId="0" borderId="52" xfId="0" applyBorder="1" applyAlignment="1"/>
    <xf numFmtId="0" fontId="0" fillId="0" borderId="53" xfId="0" applyBorder="1" applyAlignment="1"/>
    <xf numFmtId="3" fontId="11" fillId="0" borderId="0" xfId="0" applyNumberFormat="1" applyFont="1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3" fontId="6" fillId="0" borderId="0" xfId="0" applyNumberFormat="1" applyFont="1" applyBorder="1" applyAlignment="1" applyProtection="1">
      <protection hidden="1"/>
    </xf>
    <xf numFmtId="0" fontId="0" fillId="0" borderId="0" xfId="0" applyBorder="1" applyAlignment="1"/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31" fillId="0" borderId="25" xfId="0" applyFont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hidden="1"/>
    </xf>
    <xf numFmtId="0" fontId="0" fillId="2" borderId="0" xfId="0" applyFill="1" applyAlignment="1"/>
    <xf numFmtId="0" fontId="12" fillId="0" borderId="54" xfId="0" applyFon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42" xfId="0" applyNumberForma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6" fillId="0" borderId="48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protection hidden="1"/>
    </xf>
    <xf numFmtId="0" fontId="0" fillId="0" borderId="27" xfId="0" applyBorder="1" applyAlignment="1"/>
    <xf numFmtId="3" fontId="6" fillId="0" borderId="27" xfId="0" applyNumberFormat="1" applyFont="1" applyBorder="1" applyAlignment="1" applyProtection="1">
      <protection hidden="1"/>
    </xf>
    <xf numFmtId="0" fontId="6" fillId="0" borderId="27" xfId="0" applyFont="1" applyBorder="1" applyAlignment="1" applyProtection="1"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3" fontId="6" fillId="0" borderId="56" xfId="0" applyNumberFormat="1" applyFont="1" applyBorder="1" applyAlignment="1" applyProtection="1">
      <protection hidden="1"/>
    </xf>
    <xf numFmtId="3" fontId="6" fillId="0" borderId="53" xfId="0" applyNumberFormat="1" applyFont="1" applyBorder="1" applyAlignment="1" applyProtection="1">
      <protection hidden="1"/>
    </xf>
    <xf numFmtId="0" fontId="6" fillId="0" borderId="53" xfId="0" applyFont="1" applyBorder="1" applyAlignment="1" applyProtection="1"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0" fillId="0" borderId="42" xfId="0" applyBorder="1" applyAlignment="1"/>
    <xf numFmtId="4" fontId="33" fillId="0" borderId="0" xfId="0" applyNumberFormat="1" applyFont="1"/>
    <xf numFmtId="0" fontId="33" fillId="0" borderId="0" xfId="0" applyFont="1"/>
    <xf numFmtId="0" fontId="32" fillId="0" borderId="0" xfId="0" applyFont="1" applyProtection="1">
      <protection hidden="1"/>
    </xf>
    <xf numFmtId="4" fontId="33" fillId="0" borderId="0" xfId="0" applyNumberFormat="1" applyFont="1" applyProtection="1">
      <protection hidden="1"/>
    </xf>
    <xf numFmtId="0" fontId="33" fillId="0" borderId="0" xfId="0" applyFont="1" applyProtection="1">
      <protection hidden="1"/>
    </xf>
    <xf numFmtId="14" fontId="33" fillId="0" borderId="0" xfId="0" applyNumberFormat="1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right"/>
      <protection hidden="1"/>
    </xf>
    <xf numFmtId="9" fontId="39" fillId="0" borderId="0" xfId="0" applyNumberFormat="1" applyFont="1" applyFill="1" applyBorder="1" applyAlignment="1" applyProtection="1">
      <alignment horizontal="left"/>
      <protection hidden="1"/>
    </xf>
    <xf numFmtId="4" fontId="33" fillId="0" borderId="0" xfId="0" applyNumberFormat="1" applyFont="1" applyAlignment="1" applyProtection="1">
      <protection hidden="1"/>
    </xf>
    <xf numFmtId="0" fontId="41" fillId="4" borderId="43" xfId="0" applyFont="1" applyFill="1" applyBorder="1" applyAlignment="1" applyProtection="1">
      <alignment horizontal="center"/>
      <protection hidden="1"/>
    </xf>
    <xf numFmtId="0" fontId="34" fillId="4" borderId="43" xfId="0" applyFont="1" applyFill="1" applyBorder="1" applyAlignment="1" applyProtection="1">
      <alignment horizontal="center"/>
      <protection hidden="1"/>
    </xf>
    <xf numFmtId="0" fontId="41" fillId="4" borderId="17" xfId="0" applyFont="1" applyFill="1" applyBorder="1" applyAlignment="1" applyProtection="1">
      <alignment horizontal="center"/>
      <protection hidden="1"/>
    </xf>
    <xf numFmtId="3" fontId="41" fillId="4" borderId="47" xfId="0" applyNumberFormat="1" applyFont="1" applyFill="1" applyBorder="1" applyAlignment="1" applyProtection="1">
      <alignment horizontal="center"/>
      <protection hidden="1"/>
    </xf>
    <xf numFmtId="3" fontId="41" fillId="4" borderId="17" xfId="0" applyNumberFormat="1" applyFont="1" applyFill="1" applyBorder="1" applyAlignment="1" applyProtection="1">
      <alignment horizontal="center"/>
      <protection hidden="1"/>
    </xf>
    <xf numFmtId="0" fontId="34" fillId="4" borderId="17" xfId="0" applyFont="1" applyFill="1" applyBorder="1" applyAlignment="1" applyProtection="1">
      <alignment horizontal="center"/>
      <protection hidden="1"/>
    </xf>
    <xf numFmtId="3" fontId="34" fillId="4" borderId="47" xfId="0" applyNumberFormat="1" applyFont="1" applyFill="1" applyBorder="1" applyAlignment="1" applyProtection="1">
      <alignment horizontal="center"/>
      <protection hidden="1"/>
    </xf>
    <xf numFmtId="3" fontId="34" fillId="4" borderId="17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left"/>
      <protection hidden="1"/>
    </xf>
    <xf numFmtId="1" fontId="34" fillId="4" borderId="47" xfId="0" applyNumberFormat="1" applyFont="1" applyFill="1" applyBorder="1" applyAlignment="1" applyProtection="1">
      <alignment horizontal="center"/>
      <protection hidden="1"/>
    </xf>
    <xf numFmtId="14" fontId="33" fillId="0" borderId="0" xfId="0" quotePrefix="1" applyNumberFormat="1" applyFont="1" applyFill="1" applyAlignment="1" applyProtection="1">
      <alignment horizontal="left"/>
      <protection hidden="1"/>
    </xf>
    <xf numFmtId="4" fontId="33" fillId="0" borderId="0" xfId="0" applyNumberFormat="1" applyFont="1" applyFill="1" applyAlignment="1" applyProtection="1">
      <alignment horizontal="center"/>
      <protection hidden="1"/>
    </xf>
    <xf numFmtId="4" fontId="33" fillId="0" borderId="0" xfId="0" applyNumberFormat="1" applyFont="1" applyAlignment="1" applyProtection="1">
      <alignment horizontal="center"/>
      <protection hidden="1"/>
    </xf>
    <xf numFmtId="9" fontId="37" fillId="0" borderId="0" xfId="2" applyFont="1" applyProtection="1">
      <protection locked="0"/>
    </xf>
    <xf numFmtId="9" fontId="0" fillId="0" borderId="0" xfId="0" applyNumberFormat="1" applyAlignment="1"/>
    <xf numFmtId="0" fontId="32" fillId="0" borderId="0" xfId="0" quotePrefix="1" applyFont="1" applyProtection="1">
      <protection hidden="1"/>
    </xf>
    <xf numFmtId="0" fontId="0" fillId="0" borderId="12" xfId="0" applyBorder="1" applyAlignment="1"/>
    <xf numFmtId="9" fontId="20" fillId="0" borderId="0" xfId="0" applyNumberFormat="1" applyFont="1" applyBorder="1" applyAlignment="1" applyProtection="1">
      <protection hidden="1"/>
    </xf>
    <xf numFmtId="0" fontId="23" fillId="0" borderId="58" xfId="0" applyFont="1" applyBorder="1" applyAlignment="1" applyProtection="1">
      <alignment horizontal="center"/>
      <protection hidden="1"/>
    </xf>
    <xf numFmtId="0" fontId="43" fillId="0" borderId="15" xfId="0" applyFont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protection hidden="1"/>
    </xf>
    <xf numFmtId="0" fontId="42" fillId="0" borderId="59" xfId="0" applyFont="1" applyBorder="1" applyAlignment="1" applyProtection="1">
      <alignment horizontal="center"/>
      <protection hidden="1"/>
    </xf>
    <xf numFmtId="0" fontId="43" fillId="0" borderId="0" xfId="0" applyFont="1" applyProtection="1">
      <protection hidden="1"/>
    </xf>
    <xf numFmtId="9" fontId="29" fillId="0" borderId="0" xfId="0" applyNumberFormat="1" applyFont="1" applyProtection="1">
      <protection hidden="1"/>
    </xf>
    <xf numFmtId="0" fontId="6" fillId="0" borderId="0" xfId="0" applyFont="1"/>
    <xf numFmtId="2" fontId="6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Alignment="1"/>
    <xf numFmtId="0" fontId="12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0" fontId="46" fillId="4" borderId="51" xfId="0" applyFont="1" applyFill="1" applyBorder="1" applyAlignment="1" applyProtection="1">
      <alignment horizontal="center"/>
      <protection hidden="1"/>
    </xf>
    <xf numFmtId="0" fontId="46" fillId="4" borderId="20" xfId="0" applyFont="1" applyFill="1" applyBorder="1" applyAlignment="1" applyProtection="1">
      <alignment horizontal="center"/>
      <protection hidden="1"/>
    </xf>
    <xf numFmtId="0" fontId="46" fillId="4" borderId="38" xfId="0" applyFont="1" applyFill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46" fillId="4" borderId="51" xfId="0" applyFont="1" applyFill="1" applyBorder="1" applyAlignment="1" applyProtection="1">
      <alignment horizontal="left"/>
      <protection hidden="1"/>
    </xf>
    <xf numFmtId="0" fontId="7" fillId="4" borderId="38" xfId="0" applyFont="1" applyFill="1" applyBorder="1" applyProtection="1">
      <protection hidden="1"/>
    </xf>
    <xf numFmtId="0" fontId="46" fillId="4" borderId="0" xfId="0" applyFont="1" applyFill="1" applyBorder="1" applyAlignment="1" applyProtection="1">
      <alignment horizontal="center"/>
      <protection hidden="1"/>
    </xf>
    <xf numFmtId="0" fontId="46" fillId="4" borderId="46" xfId="0" applyFont="1" applyFill="1" applyBorder="1" applyAlignment="1" applyProtection="1">
      <alignment horizontal="center"/>
      <protection hidden="1"/>
    </xf>
    <xf numFmtId="49" fontId="6" fillId="0" borderId="51" xfId="0" applyNumberFormat="1" applyFont="1" applyBorder="1" applyAlignment="1" applyProtection="1">
      <alignment horizontal="left"/>
      <protection hidden="1"/>
    </xf>
    <xf numFmtId="0" fontId="6" fillId="0" borderId="38" xfId="0" applyFont="1" applyBorder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51" xfId="0" applyFont="1" applyBorder="1" applyAlignment="1" applyProtection="1">
      <alignment horizontal="left"/>
      <protection hidden="1"/>
    </xf>
    <xf numFmtId="9" fontId="31" fillId="0" borderId="0" xfId="0" applyNumberFormat="1" applyFont="1" applyProtection="1">
      <protection locked="0"/>
    </xf>
    <xf numFmtId="0" fontId="6" fillId="0" borderId="68" xfId="0" applyFont="1" applyFill="1" applyBorder="1" applyAlignment="1" applyProtection="1">
      <alignment horizontal="center"/>
      <protection hidden="1"/>
    </xf>
    <xf numFmtId="1" fontId="6" fillId="0" borderId="68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47" fillId="4" borderId="69" xfId="0" applyFont="1" applyFill="1" applyBorder="1" applyAlignment="1" applyProtection="1">
      <alignment horizontal="center"/>
      <protection hidden="1"/>
    </xf>
    <xf numFmtId="0" fontId="47" fillId="4" borderId="30" xfId="0" applyFont="1" applyFill="1" applyBorder="1" applyAlignment="1" applyProtection="1">
      <alignment horizontal="center"/>
      <protection hidden="1"/>
    </xf>
    <xf numFmtId="0" fontId="47" fillId="4" borderId="70" xfId="0" applyFont="1" applyFill="1" applyBorder="1" applyAlignment="1" applyProtection="1">
      <alignment horizontal="center"/>
      <protection hidden="1"/>
    </xf>
    <xf numFmtId="0" fontId="47" fillId="4" borderId="71" xfId="0" applyFont="1" applyFill="1" applyBorder="1" applyAlignment="1" applyProtection="1">
      <alignment horizontal="center"/>
      <protection hidden="1"/>
    </xf>
    <xf numFmtId="0" fontId="47" fillId="4" borderId="72" xfId="0" applyFont="1" applyFill="1" applyBorder="1" applyAlignment="1" applyProtection="1">
      <alignment horizontal="center"/>
      <protection hidden="1"/>
    </xf>
    <xf numFmtId="0" fontId="47" fillId="4" borderId="73" xfId="0" applyFont="1" applyFill="1" applyBorder="1" applyAlignment="1" applyProtection="1">
      <alignment horizontal="center"/>
      <protection hidden="1"/>
    </xf>
    <xf numFmtId="9" fontId="33" fillId="0" borderId="0" xfId="0" applyNumberFormat="1" applyFont="1" applyProtection="1"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30" fillId="0" borderId="18" xfId="0" applyNumberFormat="1" applyFont="1" applyBorder="1" applyAlignment="1" applyProtection="1">
      <alignment horizontal="center"/>
      <protection hidden="1"/>
    </xf>
    <xf numFmtId="2" fontId="0" fillId="0" borderId="2" xfId="0" applyNumberFormat="1" applyBorder="1" applyAlignment="1" applyProtection="1">
      <alignment horizontal="center"/>
      <protection hidden="1"/>
    </xf>
    <xf numFmtId="2" fontId="11" fillId="0" borderId="11" xfId="0" applyNumberFormat="1" applyFont="1" applyBorder="1" applyProtection="1">
      <protection hidden="1"/>
    </xf>
    <xf numFmtId="0" fontId="37" fillId="0" borderId="0" xfId="0" applyFont="1" applyProtection="1">
      <protection hidden="1"/>
    </xf>
    <xf numFmtId="17" fontId="31" fillId="0" borderId="0" xfId="0" quotePrefix="1" applyNumberFormat="1" applyFont="1" applyAlignment="1" applyProtection="1">
      <alignment horizontal="right"/>
      <protection hidden="1"/>
    </xf>
    <xf numFmtId="2" fontId="6" fillId="0" borderId="68" xfId="0" applyNumberFormat="1" applyFont="1" applyFill="1" applyBorder="1" applyAlignment="1" applyProtection="1">
      <alignment horizontal="center"/>
      <protection hidden="1"/>
    </xf>
    <xf numFmtId="2" fontId="6" fillId="0" borderId="11" xfId="0" applyNumberFormat="1" applyFont="1" applyFill="1" applyBorder="1" applyAlignment="1" applyProtection="1">
      <alignment horizontal="center"/>
      <protection hidden="1"/>
    </xf>
    <xf numFmtId="2" fontId="6" fillId="0" borderId="38" xfId="0" applyNumberFormat="1" applyFont="1" applyBorder="1" applyAlignment="1" applyProtection="1">
      <alignment horizontal="center"/>
      <protection hidden="1"/>
    </xf>
    <xf numFmtId="2" fontId="6" fillId="0" borderId="11" xfId="0" applyNumberFormat="1" applyFont="1" applyBorder="1" applyAlignment="1" applyProtection="1">
      <alignment horizontal="center"/>
      <protection hidden="1"/>
    </xf>
    <xf numFmtId="2" fontId="19" fillId="0" borderId="17" xfId="0" applyNumberFormat="1" applyFont="1" applyBorder="1" applyAlignment="1" applyProtection="1">
      <alignment horizontal="center"/>
      <protection hidden="1"/>
    </xf>
    <xf numFmtId="2" fontId="19" fillId="0" borderId="11" xfId="0" applyNumberFormat="1" applyFont="1" applyBorder="1" applyAlignment="1" applyProtection="1">
      <alignment horizontal="center"/>
      <protection hidden="1"/>
    </xf>
    <xf numFmtId="2" fontId="19" fillId="0" borderId="22" xfId="0" applyNumberFormat="1" applyFont="1" applyBorder="1" applyAlignment="1" applyProtection="1">
      <alignment horizontal="center"/>
      <protection hidden="1"/>
    </xf>
    <xf numFmtId="2" fontId="42" fillId="0" borderId="60" xfId="0" applyNumberFormat="1" applyFont="1" applyBorder="1" applyAlignment="1" applyProtection="1">
      <alignment horizontal="center"/>
      <protection hidden="1"/>
    </xf>
    <xf numFmtId="0" fontId="31" fillId="0" borderId="0" xfId="0" applyFont="1"/>
    <xf numFmtId="0" fontId="11" fillId="0" borderId="0" xfId="0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6" xfId="0" applyBorder="1"/>
    <xf numFmtId="17" fontId="10" fillId="0" borderId="0" xfId="0" quotePrefix="1" applyNumberFormat="1" applyFont="1" applyAlignme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0" xfId="0" applyFont="1"/>
    <xf numFmtId="0" fontId="5" fillId="2" borderId="0" xfId="0" applyFont="1" applyFill="1" applyAlignment="1" applyProtection="1">
      <protection hidden="1"/>
    </xf>
    <xf numFmtId="2" fontId="6" fillId="0" borderId="0" xfId="0" applyNumberFormat="1" applyFont="1" applyAlignment="1" applyProtection="1">
      <protection hidden="1"/>
    </xf>
    <xf numFmtId="2" fontId="0" fillId="0" borderId="0" xfId="0" applyNumberFormat="1" applyAlignment="1" applyProtection="1">
      <protection hidden="1"/>
    </xf>
    <xf numFmtId="2" fontId="0" fillId="0" borderId="0" xfId="0" applyNumberFormat="1" applyAlignment="1"/>
    <xf numFmtId="2" fontId="3" fillId="0" borderId="0" xfId="4" applyNumberFormat="1"/>
    <xf numFmtId="2" fontId="0" fillId="0" borderId="59" xfId="0" applyNumberFormat="1" applyBorder="1" applyAlignment="1" applyProtection="1">
      <alignment horizontal="right"/>
      <protection hidden="1"/>
    </xf>
    <xf numFmtId="2" fontId="0" fillId="0" borderId="60" xfId="0" applyNumberFormat="1" applyBorder="1" applyAlignment="1" applyProtection="1">
      <alignment horizontal="right"/>
      <protection hidden="1"/>
    </xf>
    <xf numFmtId="2" fontId="0" fillId="0" borderId="61" xfId="0" applyNumberFormat="1" applyBorder="1" applyAlignment="1" applyProtection="1">
      <alignment horizontal="right"/>
      <protection hidden="1"/>
    </xf>
    <xf numFmtId="2" fontId="0" fillId="0" borderId="18" xfId="0" applyNumberFormat="1" applyBorder="1" applyAlignment="1" applyProtection="1">
      <alignment horizontal="right"/>
      <protection hidden="1"/>
    </xf>
    <xf numFmtId="2" fontId="0" fillId="0" borderId="11" xfId="0" applyNumberFormat="1" applyBorder="1" applyAlignment="1" applyProtection="1">
      <alignment horizontal="right"/>
      <protection hidden="1"/>
    </xf>
    <xf numFmtId="2" fontId="0" fillId="0" borderId="19" xfId="0" applyNumberFormat="1" applyBorder="1" applyAlignment="1" applyProtection="1">
      <alignment horizontal="right"/>
      <protection hidden="1"/>
    </xf>
    <xf numFmtId="2" fontId="0" fillId="0" borderId="21" xfId="0" applyNumberFormat="1" applyBorder="1" applyAlignment="1" applyProtection="1">
      <alignment horizontal="right"/>
      <protection hidden="1"/>
    </xf>
    <xf numFmtId="2" fontId="0" fillId="0" borderId="22" xfId="0" applyNumberFormat="1" applyBorder="1" applyAlignment="1" applyProtection="1">
      <alignment horizontal="right"/>
      <protection hidden="1"/>
    </xf>
    <xf numFmtId="2" fontId="0" fillId="0" borderId="23" xfId="0" applyNumberFormat="1" applyBorder="1" applyAlignment="1" applyProtection="1">
      <alignment horizontal="right"/>
      <protection hidden="1"/>
    </xf>
    <xf numFmtId="2" fontId="4" fillId="0" borderId="60" xfId="3" applyNumberFormat="1" applyBorder="1" applyAlignment="1">
      <alignment horizontal="right"/>
    </xf>
    <xf numFmtId="2" fontId="4" fillId="0" borderId="11" xfId="3" applyNumberFormat="1" applyBorder="1" applyAlignment="1">
      <alignment horizontal="right"/>
    </xf>
    <xf numFmtId="2" fontId="4" fillId="0" borderId="22" xfId="3" applyNumberFormat="1" applyBorder="1" applyAlignment="1">
      <alignment horizontal="right"/>
    </xf>
    <xf numFmtId="2" fontId="3" fillId="0" borderId="11" xfId="7" applyNumberFormat="1" applyBorder="1"/>
    <xf numFmtId="2" fontId="3" fillId="0" borderId="19" xfId="7" applyNumberFormat="1" applyBorder="1"/>
    <xf numFmtId="2" fontId="3" fillId="0" borderId="60" xfId="7" applyNumberFormat="1" applyBorder="1"/>
    <xf numFmtId="2" fontId="3" fillId="0" borderId="61" xfId="7" applyNumberFormat="1" applyBorder="1"/>
    <xf numFmtId="2" fontId="3" fillId="0" borderId="22" xfId="7" applyNumberFormat="1" applyBorder="1"/>
    <xf numFmtId="2" fontId="3" fillId="0" borderId="23" xfId="7" applyNumberFormat="1" applyBorder="1"/>
    <xf numFmtId="0" fontId="6" fillId="0" borderId="28" xfId="0" applyFont="1" applyBorder="1" applyAlignment="1" applyProtection="1">
      <alignment horizontal="center"/>
      <protection hidden="1"/>
    </xf>
    <xf numFmtId="2" fontId="3" fillId="0" borderId="1" xfId="7" applyNumberFormat="1" applyBorder="1"/>
    <xf numFmtId="2" fontId="3" fillId="0" borderId="2" xfId="7" applyNumberFormat="1" applyBorder="1"/>
    <xf numFmtId="2" fontId="3" fillId="0" borderId="3" xfId="7" applyNumberFormat="1" applyBorder="1"/>
    <xf numFmtId="1" fontId="11" fillId="0" borderId="62" xfId="0" applyNumberFormat="1" applyFont="1" applyBorder="1" applyAlignment="1" applyProtection="1">
      <alignment horizontal="center"/>
      <protection hidden="1"/>
    </xf>
    <xf numFmtId="0" fontId="11" fillId="0" borderId="63" xfId="0" applyFont="1" applyBorder="1" applyAlignment="1" applyProtection="1">
      <alignment horizontal="center"/>
      <protection hidden="1"/>
    </xf>
    <xf numFmtId="0" fontId="11" fillId="0" borderId="62" xfId="0" applyFont="1" applyBorder="1" applyAlignment="1" applyProtection="1">
      <alignment horizontal="center"/>
      <protection hidden="1"/>
    </xf>
    <xf numFmtId="0" fontId="11" fillId="0" borderId="65" xfId="0" applyFont="1" applyBorder="1" applyAlignment="1" applyProtection="1">
      <alignment horizontal="center"/>
      <protection hidden="1"/>
    </xf>
    <xf numFmtId="0" fontId="11" fillId="0" borderId="64" xfId="0" applyFont="1" applyBorder="1" applyAlignment="1" applyProtection="1">
      <alignment horizontal="center"/>
      <protection hidden="1"/>
    </xf>
    <xf numFmtId="1" fontId="11" fillId="0" borderId="63" xfId="0" applyNumberFormat="1" applyFont="1" applyBorder="1" applyAlignment="1" applyProtection="1">
      <alignment horizontal="center"/>
      <protection hidden="1"/>
    </xf>
    <xf numFmtId="1" fontId="11" fillId="0" borderId="64" xfId="0" applyNumberFormat="1" applyFont="1" applyBorder="1" applyAlignment="1" applyProtection="1">
      <alignment horizontal="center"/>
      <protection hidden="1"/>
    </xf>
    <xf numFmtId="0" fontId="11" fillId="0" borderId="39" xfId="0" applyFont="1" applyFill="1" applyBorder="1" applyAlignment="1" applyProtection="1">
      <alignment horizontal="center"/>
      <protection hidden="1"/>
    </xf>
    <xf numFmtId="2" fontId="3" fillId="0" borderId="59" xfId="4" applyNumberFormat="1" applyBorder="1"/>
    <xf numFmtId="2" fontId="3" fillId="0" borderId="60" xfId="4" applyNumberFormat="1" applyBorder="1"/>
    <xf numFmtId="2" fontId="3" fillId="0" borderId="18" xfId="4" applyNumberFormat="1" applyBorder="1"/>
    <xf numFmtId="2" fontId="3" fillId="0" borderId="11" xfId="4" applyNumberFormat="1" applyBorder="1"/>
    <xf numFmtId="2" fontId="3" fillId="0" borderId="21" xfId="4" applyNumberFormat="1" applyBorder="1"/>
    <xf numFmtId="2" fontId="3" fillId="0" borderId="22" xfId="4" applyNumberFormat="1" applyBorder="1"/>
    <xf numFmtId="2" fontId="30" fillId="0" borderId="59" xfId="0" applyNumberFormat="1" applyFont="1" applyBorder="1" applyAlignment="1" applyProtection="1">
      <alignment horizontal="center"/>
      <protection hidden="1"/>
    </xf>
    <xf numFmtId="2" fontId="3" fillId="0" borderId="61" xfId="4" applyNumberFormat="1" applyBorder="1"/>
    <xf numFmtId="2" fontId="3" fillId="0" borderId="19" xfId="4" applyNumberFormat="1" applyBorder="1"/>
    <xf numFmtId="2" fontId="3" fillId="0" borderId="23" xfId="4" applyNumberFormat="1" applyBorder="1"/>
    <xf numFmtId="2" fontId="3" fillId="0" borderId="2" xfId="4" applyNumberFormat="1" applyBorder="1"/>
    <xf numFmtId="2" fontId="3" fillId="0" borderId="3" xfId="4" applyNumberFormat="1" applyBorder="1"/>
    <xf numFmtId="2" fontId="0" fillId="0" borderId="1" xfId="0" applyNumberFormat="1" applyBorder="1" applyAlignment="1" applyProtection="1">
      <alignment horizontal="center"/>
      <protection hidden="1"/>
    </xf>
    <xf numFmtId="2" fontId="3" fillId="0" borderId="67" xfId="4" applyNumberFormat="1" applyBorder="1"/>
    <xf numFmtId="2" fontId="3" fillId="0" borderId="38" xfId="4" applyNumberFormat="1" applyBorder="1"/>
    <xf numFmtId="2" fontId="3" fillId="0" borderId="16" xfId="4" applyNumberFormat="1" applyBorder="1"/>
    <xf numFmtId="3" fontId="11" fillId="0" borderId="7" xfId="0" applyNumberFormat="1" applyFont="1" applyBorder="1" applyAlignment="1" applyProtection="1">
      <protection hidden="1"/>
    </xf>
    <xf numFmtId="3" fontId="11" fillId="0" borderId="10" xfId="0" applyNumberFormat="1" applyFont="1" applyBorder="1" applyAlignment="1" applyProtection="1">
      <protection hidden="1"/>
    </xf>
    <xf numFmtId="3" fontId="11" fillId="0" borderId="24" xfId="0" applyNumberFormat="1" applyFont="1" applyBorder="1" applyAlignment="1" applyProtection="1">
      <protection hidden="1"/>
    </xf>
    <xf numFmtId="2" fontId="52" fillId="0" borderId="59" xfId="0" applyNumberFormat="1" applyFont="1" applyBorder="1" applyAlignment="1" applyProtection="1">
      <alignment horizontal="right"/>
      <protection hidden="1"/>
    </xf>
    <xf numFmtId="2" fontId="52" fillId="0" borderId="60" xfId="0" applyNumberFormat="1" applyFont="1" applyBorder="1" applyAlignment="1" applyProtection="1">
      <alignment horizontal="right"/>
      <protection hidden="1"/>
    </xf>
    <xf numFmtId="2" fontId="52" fillId="0" borderId="61" xfId="0" applyNumberFormat="1" applyFont="1" applyBorder="1" applyAlignment="1" applyProtection="1">
      <alignment horizontal="right"/>
      <protection hidden="1"/>
    </xf>
    <xf numFmtId="2" fontId="52" fillId="0" borderId="18" xfId="0" applyNumberFormat="1" applyFont="1" applyBorder="1" applyAlignment="1" applyProtection="1">
      <alignment horizontal="right"/>
      <protection hidden="1"/>
    </xf>
    <xf numFmtId="2" fontId="52" fillId="0" borderId="11" xfId="0" applyNumberFormat="1" applyFont="1" applyBorder="1" applyAlignment="1" applyProtection="1">
      <alignment horizontal="right"/>
      <protection hidden="1"/>
    </xf>
    <xf numFmtId="2" fontId="52" fillId="0" borderId="19" xfId="0" applyNumberFormat="1" applyFont="1" applyBorder="1" applyAlignment="1" applyProtection="1">
      <alignment horizontal="right"/>
      <protection hidden="1"/>
    </xf>
    <xf numFmtId="2" fontId="52" fillId="0" borderId="21" xfId="0" applyNumberFormat="1" applyFont="1" applyBorder="1" applyAlignment="1" applyProtection="1">
      <alignment horizontal="right"/>
      <protection hidden="1"/>
    </xf>
    <xf numFmtId="2" fontId="52" fillId="0" borderId="22" xfId="0" applyNumberFormat="1" applyFont="1" applyBorder="1" applyAlignment="1" applyProtection="1">
      <alignment horizontal="right"/>
      <protection hidden="1"/>
    </xf>
    <xf numFmtId="2" fontId="52" fillId="0" borderId="23" xfId="0" applyNumberFormat="1" applyFont="1" applyBorder="1" applyAlignment="1" applyProtection="1">
      <alignment horizontal="right"/>
      <protection hidden="1"/>
    </xf>
    <xf numFmtId="2" fontId="3" fillId="0" borderId="77" xfId="4" applyNumberFormat="1" applyBorder="1"/>
    <xf numFmtId="2" fontId="3" fillId="0" borderId="68" xfId="4" applyNumberFormat="1" applyBorder="1"/>
    <xf numFmtId="2" fontId="3" fillId="0" borderId="78" xfId="4" applyNumberFormat="1" applyBorder="1"/>
    <xf numFmtId="2" fontId="3" fillId="0" borderId="79" xfId="4" applyNumberFormat="1" applyBorder="1"/>
    <xf numFmtId="2" fontId="3" fillId="0" borderId="80" xfId="4" applyNumberFormat="1" applyBorder="1"/>
    <xf numFmtId="2" fontId="3" fillId="0" borderId="32" xfId="4" applyNumberFormat="1" applyBorder="1"/>
    <xf numFmtId="2" fontId="3" fillId="0" borderId="33" xfId="4" applyNumberFormat="1" applyBorder="1"/>
    <xf numFmtId="2" fontId="3" fillId="0" borderId="34" xfId="4" applyNumberFormat="1" applyBorder="1"/>
    <xf numFmtId="0" fontId="35" fillId="5" borderId="11" xfId="0" applyFont="1" applyFill="1" applyBorder="1" applyAlignment="1" applyProtection="1">
      <alignment horizontal="center"/>
      <protection hidden="1"/>
    </xf>
    <xf numFmtId="0" fontId="40" fillId="5" borderId="11" xfId="0" applyFont="1" applyFill="1" applyBorder="1" applyAlignment="1" applyProtection="1">
      <alignment horizontal="center"/>
      <protection hidden="1"/>
    </xf>
    <xf numFmtId="2" fontId="53" fillId="5" borderId="11" xfId="7" applyNumberFormat="1" applyFont="1" applyFill="1" applyBorder="1" applyAlignment="1">
      <alignment horizontal="center"/>
    </xf>
    <xf numFmtId="4" fontId="54" fillId="5" borderId="11" xfId="0" applyNumberFormat="1" applyFont="1" applyFill="1" applyBorder="1" applyAlignment="1" applyProtection="1">
      <alignment horizontal="center"/>
      <protection hidden="1"/>
    </xf>
    <xf numFmtId="164" fontId="54" fillId="5" borderId="11" xfId="0" applyNumberFormat="1" applyFont="1" applyFill="1" applyBorder="1" applyAlignment="1" applyProtection="1">
      <alignment horizontal="center"/>
      <protection hidden="1"/>
    </xf>
    <xf numFmtId="2" fontId="5" fillId="0" borderId="59" xfId="0" applyNumberFormat="1" applyFont="1" applyBorder="1" applyAlignment="1" applyProtection="1">
      <alignment horizontal="right"/>
      <protection hidden="1"/>
    </xf>
    <xf numFmtId="2" fontId="5" fillId="0" borderId="60" xfId="0" applyNumberFormat="1" applyFont="1" applyBorder="1" applyAlignment="1" applyProtection="1">
      <alignment horizontal="right"/>
      <protection hidden="1"/>
    </xf>
    <xf numFmtId="2" fontId="5" fillId="0" borderId="61" xfId="0" applyNumberFormat="1" applyFont="1" applyBorder="1" applyAlignment="1" applyProtection="1">
      <alignment horizontal="right"/>
      <protection hidden="1"/>
    </xf>
    <xf numFmtId="2" fontId="5" fillId="0" borderId="18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19" xfId="0" applyNumberFormat="1" applyFont="1" applyBorder="1" applyAlignment="1" applyProtection="1">
      <alignment horizontal="right"/>
      <protection hidden="1"/>
    </xf>
    <xf numFmtId="2" fontId="5" fillId="0" borderId="21" xfId="0" applyNumberFormat="1" applyFont="1" applyBorder="1" applyAlignment="1" applyProtection="1">
      <alignment horizontal="right"/>
      <protection hidden="1"/>
    </xf>
    <xf numFmtId="2" fontId="5" fillId="0" borderId="22" xfId="0" applyNumberFormat="1" applyFont="1" applyBorder="1" applyAlignment="1" applyProtection="1">
      <alignment horizontal="right"/>
      <protection hidden="1"/>
    </xf>
    <xf numFmtId="2" fontId="5" fillId="0" borderId="23" xfId="0" applyNumberFormat="1" applyFont="1" applyBorder="1" applyAlignment="1" applyProtection="1">
      <alignment horizontal="right"/>
      <protection hidden="1"/>
    </xf>
    <xf numFmtId="0" fontId="19" fillId="0" borderId="54" xfId="0" applyFont="1" applyBorder="1" applyAlignment="1" applyProtection="1">
      <alignment horizontal="center"/>
      <protection hidden="1"/>
    </xf>
    <xf numFmtId="0" fontId="23" fillId="0" borderId="39" xfId="0" applyFont="1" applyBorder="1" applyAlignment="1" applyProtection="1">
      <alignment horizontal="center"/>
      <protection hidden="1"/>
    </xf>
    <xf numFmtId="0" fontId="23" fillId="0" borderId="65" xfId="0" applyFont="1" applyBorder="1" applyAlignment="1" applyProtection="1">
      <alignment horizontal="center"/>
      <protection hidden="1"/>
    </xf>
    <xf numFmtId="3" fontId="19" fillId="0" borderId="66" xfId="0" applyNumberFormat="1" applyFont="1" applyBorder="1" applyAlignment="1" applyProtection="1">
      <alignment horizontal="center"/>
      <protection hidden="1"/>
    </xf>
    <xf numFmtId="2" fontId="19" fillId="0" borderId="9" xfId="0" applyNumberFormat="1" applyFont="1" applyBorder="1" applyAlignment="1" applyProtection="1">
      <alignment horizontal="right"/>
      <protection hidden="1"/>
    </xf>
    <xf numFmtId="2" fontId="19" fillId="0" borderId="12" xfId="0" applyNumberFormat="1" applyFont="1" applyBorder="1" applyAlignment="1" applyProtection="1">
      <alignment horizontal="right"/>
      <protection hidden="1"/>
    </xf>
    <xf numFmtId="2" fontId="19" fillId="0" borderId="42" xfId="0" applyNumberFormat="1" applyFont="1" applyBorder="1" applyAlignment="1" applyProtection="1">
      <alignment horizontal="right"/>
      <protection hidden="1"/>
    </xf>
    <xf numFmtId="2" fontId="19" fillId="0" borderId="23" xfId="0" applyNumberFormat="1" applyFont="1" applyBorder="1" applyAlignment="1" applyProtection="1">
      <alignment horizontal="right"/>
      <protection hidden="1"/>
    </xf>
    <xf numFmtId="2" fontId="42" fillId="0" borderId="61" xfId="0" applyNumberFormat="1" applyFont="1" applyBorder="1" applyAlignment="1" applyProtection="1">
      <alignment horizontal="right"/>
      <protection hidden="1"/>
    </xf>
    <xf numFmtId="2" fontId="3" fillId="0" borderId="9" xfId="7" applyNumberFormat="1" applyBorder="1" applyAlignment="1">
      <alignment horizontal="right"/>
    </xf>
    <xf numFmtId="2" fontId="3" fillId="0" borderId="12" xfId="7" applyNumberFormat="1" applyBorder="1" applyAlignment="1">
      <alignment horizontal="right"/>
    </xf>
    <xf numFmtId="2" fontId="19" fillId="0" borderId="2" xfId="0" applyNumberFormat="1" applyFont="1" applyBorder="1" applyAlignment="1" applyProtection="1">
      <alignment horizontal="right"/>
      <protection hidden="1"/>
    </xf>
    <xf numFmtId="2" fontId="19" fillId="0" borderId="3" xfId="0" applyNumberFormat="1" applyFont="1" applyBorder="1" applyAlignment="1" applyProtection="1">
      <alignment horizontal="right"/>
      <protection hidden="1"/>
    </xf>
    <xf numFmtId="2" fontId="19" fillId="0" borderId="19" xfId="0" applyNumberFormat="1" applyFont="1" applyBorder="1" applyAlignment="1" applyProtection="1">
      <alignment horizontal="right"/>
      <protection hidden="1"/>
    </xf>
    <xf numFmtId="3" fontId="19" fillId="0" borderId="41" xfId="0" applyNumberFormat="1" applyFont="1" applyBorder="1" applyAlignment="1" applyProtection="1">
      <alignment horizontal="center"/>
      <protection hidden="1"/>
    </xf>
    <xf numFmtId="3" fontId="19" fillId="0" borderId="10" xfId="0" applyNumberFormat="1" applyFont="1" applyBorder="1" applyAlignment="1" applyProtection="1">
      <alignment horizontal="center"/>
      <protection hidden="1"/>
    </xf>
    <xf numFmtId="0" fontId="42" fillId="0" borderId="40" xfId="0" applyFont="1" applyBorder="1" applyAlignment="1" applyProtection="1">
      <alignment horizontal="center"/>
      <protection hidden="1"/>
    </xf>
    <xf numFmtId="0" fontId="42" fillId="0" borderId="55" xfId="0" applyFont="1" applyBorder="1" applyAlignment="1" applyProtection="1">
      <alignment horizontal="center"/>
      <protection hidden="1"/>
    </xf>
    <xf numFmtId="2" fontId="42" fillId="0" borderId="9" xfId="0" applyNumberFormat="1" applyFont="1" applyBorder="1" applyAlignment="1" applyProtection="1">
      <alignment horizontal="right"/>
      <protection hidden="1"/>
    </xf>
    <xf numFmtId="2" fontId="42" fillId="0" borderId="12" xfId="0" applyNumberFormat="1" applyFont="1" applyBorder="1" applyAlignment="1" applyProtection="1">
      <alignment horizontal="right"/>
      <protection hidden="1"/>
    </xf>
    <xf numFmtId="2" fontId="42" fillId="0" borderId="42" xfId="0" applyNumberFormat="1" applyFont="1" applyBorder="1" applyAlignment="1" applyProtection="1">
      <alignment horizontal="right"/>
      <protection hidden="1"/>
    </xf>
    <xf numFmtId="2" fontId="3" fillId="0" borderId="59" xfId="7" applyNumberFormat="1" applyBorder="1"/>
    <xf numFmtId="2" fontId="3" fillId="0" borderId="18" xfId="7" applyNumberFormat="1" applyBorder="1"/>
    <xf numFmtId="2" fontId="3" fillId="0" borderId="21" xfId="7" applyNumberFormat="1" applyBorder="1"/>
    <xf numFmtId="0" fontId="19" fillId="0" borderId="26" xfId="0" applyFont="1" applyBorder="1" applyAlignment="1" applyProtection="1">
      <alignment horizontal="center"/>
      <protection hidden="1"/>
    </xf>
    <xf numFmtId="0" fontId="19" fillId="0" borderId="43" xfId="0" applyFont="1" applyBorder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center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center"/>
      <protection hidden="1"/>
    </xf>
    <xf numFmtId="49" fontId="10" fillId="0" borderId="0" xfId="0" quotePrefix="1" applyNumberFormat="1" applyFont="1" applyAlignment="1" applyProtection="1">
      <protection hidden="1"/>
    </xf>
    <xf numFmtId="49" fontId="10" fillId="0" borderId="0" xfId="0" quotePrefix="1" applyNumberFormat="1" applyFont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left"/>
      <protection hidden="1"/>
    </xf>
    <xf numFmtId="0" fontId="45" fillId="0" borderId="0" xfId="0" applyFont="1" applyAlignment="1"/>
    <xf numFmtId="0" fontId="12" fillId="0" borderId="8" xfId="0" applyFont="1" applyBorder="1" applyAlignment="1" applyProtection="1">
      <alignment horizontal="center"/>
      <protection hidden="1"/>
    </xf>
    <xf numFmtId="0" fontId="0" fillId="0" borderId="9" xfId="0" applyBorder="1" applyAlignment="1"/>
    <xf numFmtId="0" fontId="11" fillId="0" borderId="4" xfId="0" applyFont="1" applyBorder="1" applyAlignment="1" applyProtection="1">
      <alignment horizontal="left"/>
      <protection hidden="1"/>
    </xf>
    <xf numFmtId="0" fontId="45" fillId="0" borderId="0" xfId="0" applyFont="1" applyAlignment="1" applyProtection="1">
      <protection hidden="1"/>
    </xf>
    <xf numFmtId="0" fontId="45" fillId="0" borderId="0" xfId="0" applyFont="1" applyAlignment="1" applyProtection="1">
      <alignment horizontal="right"/>
      <protection hidden="1"/>
    </xf>
    <xf numFmtId="0" fontId="45" fillId="0" borderId="0" xfId="0" applyFont="1" applyAlignment="1">
      <alignment horizontal="right"/>
    </xf>
    <xf numFmtId="1" fontId="11" fillId="0" borderId="25" xfId="0" applyNumberFormat="1" applyFont="1" applyBorder="1" applyAlignment="1" applyProtection="1">
      <alignment horizontal="center"/>
      <protection hidden="1"/>
    </xf>
    <xf numFmtId="0" fontId="45" fillId="0" borderId="10" xfId="0" applyFont="1" applyBorder="1" applyAlignment="1"/>
    <xf numFmtId="0" fontId="45" fillId="0" borderId="11" xfId="0" applyFont="1" applyBorder="1" applyProtection="1">
      <protection hidden="1"/>
    </xf>
    <xf numFmtId="0" fontId="18" fillId="0" borderId="43" xfId="1" applyFont="1" applyBorder="1" applyAlignment="1" applyProtection="1">
      <alignment horizontal="left"/>
      <protection hidden="1"/>
    </xf>
    <xf numFmtId="4" fontId="32" fillId="0" borderId="0" xfId="0" applyNumberFormat="1" applyFont="1" applyAlignment="1" applyProtection="1">
      <protection hidden="1"/>
    </xf>
    <xf numFmtId="4" fontId="32" fillId="0" borderId="0" xfId="0" applyNumberFormat="1" applyFont="1" applyAlignment="1" applyProtection="1">
      <alignment horizontal="center"/>
      <protection hidden="1"/>
    </xf>
    <xf numFmtId="0" fontId="40" fillId="5" borderId="0" xfId="0" applyFont="1" applyFill="1" applyBorder="1" applyAlignment="1" applyProtection="1">
      <alignment horizontal="center"/>
      <protection hidden="1"/>
    </xf>
    <xf numFmtId="4" fontId="54" fillId="5" borderId="0" xfId="0" applyNumberFormat="1" applyFont="1" applyFill="1" applyBorder="1" applyAlignment="1" applyProtection="1">
      <alignment horizontal="center"/>
      <protection hidden="1"/>
    </xf>
    <xf numFmtId="2" fontId="53" fillId="5" borderId="0" xfId="7" applyNumberFormat="1" applyFont="1" applyFill="1" applyBorder="1" applyAlignment="1">
      <alignment horizontal="center"/>
    </xf>
    <xf numFmtId="0" fontId="55" fillId="5" borderId="0" xfId="0" applyFont="1" applyFill="1" applyBorder="1" applyAlignment="1" applyProtection="1">
      <alignment horizontal="left"/>
      <protection hidden="1"/>
    </xf>
    <xf numFmtId="0" fontId="56" fillId="7" borderId="17" xfId="0" applyFont="1" applyFill="1" applyBorder="1" applyAlignment="1" applyProtection="1">
      <alignment horizontal="center"/>
      <protection hidden="1"/>
    </xf>
    <xf numFmtId="1" fontId="56" fillId="7" borderId="47" xfId="0" applyNumberFormat="1" applyFont="1" applyFill="1" applyBorder="1" applyAlignment="1" applyProtection="1">
      <alignment horizontal="center"/>
      <protection hidden="1"/>
    </xf>
    <xf numFmtId="0" fontId="34" fillId="4" borderId="49" xfId="0" applyFont="1" applyFill="1" applyBorder="1" applyAlignment="1" applyProtection="1">
      <protection hidden="1"/>
    </xf>
    <xf numFmtId="0" fontId="56" fillId="7" borderId="49" xfId="0" applyFont="1" applyFill="1" applyBorder="1" applyAlignment="1" applyProtection="1">
      <alignment horizontal="center"/>
      <protection hidden="1"/>
    </xf>
    <xf numFmtId="0" fontId="56" fillId="7" borderId="27" xfId="0" applyFont="1" applyFill="1" applyBorder="1" applyAlignment="1" applyProtection="1">
      <alignment horizontal="center"/>
      <protection hidden="1"/>
    </xf>
    <xf numFmtId="0" fontId="56" fillId="7" borderId="50" xfId="0" applyFont="1" applyFill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2" fontId="3" fillId="0" borderId="0" xfId="4" applyNumberFormat="1" applyBorder="1"/>
    <xf numFmtId="3" fontId="14" fillId="0" borderId="0" xfId="0" applyNumberFormat="1" applyFont="1" applyBorder="1" applyAlignment="1" applyProtection="1">
      <alignment horizontal="center"/>
      <protection hidden="1"/>
    </xf>
    <xf numFmtId="0" fontId="14" fillId="0" borderId="81" xfId="0" applyFont="1" applyBorder="1" applyAlignment="1" applyProtection="1">
      <alignment horizontal="center"/>
      <protection hidden="1"/>
    </xf>
    <xf numFmtId="0" fontId="14" fillId="0" borderId="82" xfId="0" applyFont="1" applyBorder="1" applyAlignment="1" applyProtection="1">
      <alignment horizontal="center"/>
      <protection hidden="1"/>
    </xf>
    <xf numFmtId="0" fontId="14" fillId="0" borderId="83" xfId="0" applyFont="1" applyBorder="1" applyAlignment="1" applyProtection="1">
      <alignment horizontal="center"/>
      <protection hidden="1"/>
    </xf>
    <xf numFmtId="0" fontId="14" fillId="0" borderId="70" xfId="0" applyFont="1" applyBorder="1" applyAlignment="1" applyProtection="1">
      <alignment horizontal="center"/>
      <protection hidden="1"/>
    </xf>
    <xf numFmtId="0" fontId="16" fillId="3" borderId="85" xfId="0" applyFont="1" applyFill="1" applyBorder="1" applyAlignment="1" applyProtection="1">
      <alignment horizontal="center"/>
      <protection hidden="1"/>
    </xf>
    <xf numFmtId="2" fontId="3" fillId="0" borderId="86" xfId="4" applyNumberFormat="1" applyBorder="1"/>
    <xf numFmtId="2" fontId="3" fillId="0" borderId="51" xfId="4" applyNumberFormat="1" applyBorder="1"/>
    <xf numFmtId="2" fontId="3" fillId="0" borderId="85" xfId="4" applyNumberFormat="1" applyBorder="1"/>
    <xf numFmtId="2" fontId="3" fillId="0" borderId="84" xfId="4" applyNumberFormat="1" applyBorder="1"/>
    <xf numFmtId="0" fontId="6" fillId="0" borderId="0" xfId="0" applyFont="1" applyFill="1" applyAlignment="1" applyProtection="1">
      <protection hidden="1"/>
    </xf>
    <xf numFmtId="0" fontId="14" fillId="0" borderId="84" xfId="0" applyFont="1" applyFill="1" applyBorder="1" applyAlignment="1" applyProtection="1">
      <alignment horizontal="center"/>
      <protection hidden="1"/>
    </xf>
    <xf numFmtId="0" fontId="16" fillId="0" borderId="84" xfId="0" applyFont="1" applyFill="1" applyBorder="1" applyAlignment="1" applyProtection="1">
      <alignment horizontal="center"/>
      <protection hidden="1"/>
    </xf>
    <xf numFmtId="2" fontId="3" fillId="0" borderId="84" xfId="4" applyNumberFormat="1" applyFill="1" applyBorder="1"/>
    <xf numFmtId="0" fontId="0" fillId="0" borderId="87" xfId="0" applyBorder="1"/>
    <xf numFmtId="3" fontId="14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4" applyNumberFormat="1" applyFill="1" applyBorder="1"/>
    <xf numFmtId="2" fontId="0" fillId="0" borderId="87" xfId="0" applyNumberFormat="1" applyBorder="1"/>
    <xf numFmtId="2" fontId="0" fillId="0" borderId="80" xfId="0" applyNumberFormat="1" applyBorder="1"/>
    <xf numFmtId="2" fontId="0" fillId="0" borderId="34" xfId="0" applyNumberFormat="1" applyBorder="1"/>
    <xf numFmtId="0" fontId="14" fillId="0" borderId="89" xfId="0" applyFont="1" applyBorder="1" applyAlignment="1" applyProtection="1">
      <alignment horizontal="center"/>
      <protection hidden="1"/>
    </xf>
    <xf numFmtId="2" fontId="3" fillId="0" borderId="90" xfId="4" applyNumberFormat="1" applyBorder="1"/>
    <xf numFmtId="2" fontId="3" fillId="0" borderId="43" xfId="4" applyNumberFormat="1" applyBorder="1"/>
    <xf numFmtId="2" fontId="3" fillId="0" borderId="49" xfId="4" applyNumberFormat="1" applyBorder="1"/>
    <xf numFmtId="0" fontId="14" fillId="0" borderId="88" xfId="0" applyFont="1" applyBorder="1" applyAlignment="1" applyProtection="1">
      <alignment horizontal="center"/>
      <protection hidden="1"/>
    </xf>
    <xf numFmtId="2" fontId="3" fillId="0" borderId="88" xfId="4" applyNumberFormat="1" applyBorder="1"/>
    <xf numFmtId="0" fontId="0" fillId="0" borderId="88" xfId="0" applyBorder="1"/>
    <xf numFmtId="0" fontId="0" fillId="0" borderId="84" xfId="0" applyBorder="1"/>
    <xf numFmtId="0" fontId="0" fillId="0" borderId="84" xfId="0" applyFill="1" applyBorder="1"/>
    <xf numFmtId="2" fontId="0" fillId="0" borderId="84" xfId="0" applyNumberFormat="1" applyFill="1" applyBorder="1"/>
    <xf numFmtId="0" fontId="0" fillId="0" borderId="0" xfId="0" applyFill="1" applyBorder="1"/>
    <xf numFmtId="0" fontId="14" fillId="3" borderId="30" xfId="0" applyFont="1" applyFill="1" applyBorder="1" applyAlignment="1" applyProtection="1">
      <protection hidden="1"/>
    </xf>
    <xf numFmtId="0" fontId="14" fillId="3" borderId="31" xfId="0" applyFont="1" applyFill="1" applyBorder="1" applyAlignment="1" applyProtection="1">
      <protection hidden="1"/>
    </xf>
    <xf numFmtId="9" fontId="50" fillId="0" borderId="0" xfId="0" applyNumberFormat="1" applyFont="1" applyAlignment="1" applyProtection="1">
      <protection hidden="1"/>
    </xf>
    <xf numFmtId="2" fontId="0" fillId="0" borderId="91" xfId="0" applyNumberFormat="1" applyBorder="1"/>
    <xf numFmtId="0" fontId="9" fillId="2" borderId="0" xfId="0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4" fontId="17" fillId="0" borderId="80" xfId="0" applyNumberFormat="1" applyFont="1" applyFill="1" applyBorder="1" applyAlignment="1" applyProtection="1">
      <alignment horizontal="center"/>
      <protection hidden="1"/>
    </xf>
    <xf numFmtId="4" fontId="17" fillId="0" borderId="34" xfId="0" applyNumberFormat="1" applyFont="1" applyFill="1" applyBorder="1" applyAlignment="1" applyProtection="1">
      <alignment horizontal="center"/>
      <protection hidden="1"/>
    </xf>
    <xf numFmtId="2" fontId="3" fillId="0" borderId="11" xfId="4" applyNumberFormat="1" applyBorder="1" applyAlignment="1">
      <alignment horizontal="center"/>
    </xf>
    <xf numFmtId="2" fontId="3" fillId="0" borderId="33" xfId="4" applyNumberFormat="1" applyBorder="1" applyAlignment="1">
      <alignment horizontal="center"/>
    </xf>
    <xf numFmtId="0" fontId="58" fillId="3" borderId="43" xfId="0" applyFont="1" applyFill="1" applyBorder="1" applyAlignment="1" applyProtection="1">
      <alignment horizontal="center"/>
      <protection hidden="1"/>
    </xf>
    <xf numFmtId="0" fontId="58" fillId="3" borderId="91" xfId="0" applyFont="1" applyFill="1" applyBorder="1" applyAlignment="1" applyProtection="1">
      <alignment horizontal="center"/>
      <protection hidden="1"/>
    </xf>
    <xf numFmtId="2" fontId="3" fillId="0" borderId="77" xfId="4" applyNumberFormat="1" applyBorder="1" applyAlignment="1">
      <alignment horizontal="center"/>
    </xf>
    <xf numFmtId="2" fontId="3" fillId="0" borderId="68" xfId="4" applyNumberFormat="1" applyBorder="1" applyAlignment="1">
      <alignment horizontal="center"/>
    </xf>
    <xf numFmtId="4" fontId="17" fillId="0" borderId="78" xfId="0" applyNumberFormat="1" applyFont="1" applyFill="1" applyBorder="1" applyAlignment="1" applyProtection="1">
      <alignment horizontal="center"/>
      <protection hidden="1"/>
    </xf>
    <xf numFmtId="2" fontId="3" fillId="0" borderId="79" xfId="4" applyNumberFormat="1" applyBorder="1" applyAlignment="1">
      <alignment horizontal="center"/>
    </xf>
    <xf numFmtId="2" fontId="3" fillId="0" borderId="32" xfId="4" applyNumberFormat="1" applyBorder="1" applyAlignment="1">
      <alignment horizontal="center"/>
    </xf>
    <xf numFmtId="2" fontId="0" fillId="0" borderId="0" xfId="0" applyNumberFormat="1" applyFill="1" applyBorder="1"/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5" fillId="0" borderId="84" xfId="0" applyFont="1" applyBorder="1"/>
    <xf numFmtId="0" fontId="45" fillId="0" borderId="83" xfId="0" applyFont="1" applyBorder="1"/>
    <xf numFmtId="0" fontId="0" fillId="0" borderId="20" xfId="0" applyBorder="1"/>
    <xf numFmtId="0" fontId="45" fillId="0" borderId="70" xfId="0" applyFont="1" applyBorder="1"/>
    <xf numFmtId="0" fontId="0" fillId="0" borderId="73" xfId="0" applyBorder="1"/>
    <xf numFmtId="0" fontId="45" fillId="0" borderId="89" xfId="0" applyFont="1" applyBorder="1"/>
    <xf numFmtId="0" fontId="0" fillId="0" borderId="27" xfId="0" applyBorder="1"/>
    <xf numFmtId="0" fontId="0" fillId="0" borderId="91" xfId="0" applyBorder="1"/>
    <xf numFmtId="0" fontId="45" fillId="0" borderId="95" xfId="0" applyFont="1" applyBorder="1"/>
    <xf numFmtId="0" fontId="0" fillId="0" borderId="48" xfId="0" applyBorder="1"/>
    <xf numFmtId="0" fontId="0" fillId="0" borderId="96" xfId="0" applyBorder="1"/>
    <xf numFmtId="0" fontId="11" fillId="0" borderId="97" xfId="0" applyFont="1" applyBorder="1"/>
    <xf numFmtId="0" fontId="0" fillId="0" borderId="98" xfId="0" applyBorder="1"/>
    <xf numFmtId="0" fontId="0" fillId="0" borderId="94" xfId="0" applyBorder="1"/>
    <xf numFmtId="0" fontId="17" fillId="0" borderId="0" xfId="0" applyFont="1" applyFill="1" applyBorder="1" applyAlignment="1" applyProtection="1">
      <alignment horizontal="left"/>
      <protection hidden="1"/>
    </xf>
    <xf numFmtId="2" fontId="0" fillId="0" borderId="0" xfId="0" applyNumberFormat="1"/>
    <xf numFmtId="0" fontId="14" fillId="0" borderId="92" xfId="0" applyFont="1" applyFill="1" applyBorder="1" applyAlignment="1" applyProtection="1">
      <alignment horizontal="left"/>
      <protection hidden="1"/>
    </xf>
    <xf numFmtId="2" fontId="3" fillId="0" borderId="88" xfId="4" applyNumberFormat="1" applyFill="1" applyBorder="1"/>
    <xf numFmtId="2" fontId="3" fillId="0" borderId="93" xfId="4" applyNumberFormat="1" applyFill="1" applyBorder="1"/>
    <xf numFmtId="0" fontId="17" fillId="0" borderId="70" xfId="0" applyFont="1" applyFill="1" applyBorder="1" applyAlignment="1" applyProtection="1">
      <alignment horizontal="left"/>
      <protection hidden="1"/>
    </xf>
    <xf numFmtId="2" fontId="3" fillId="0" borderId="73" xfId="4" applyNumberFormat="1" applyFill="1" applyBorder="1"/>
    <xf numFmtId="2" fontId="3" fillId="0" borderId="34" xfId="4" applyNumberFormat="1" applyFill="1" applyBorder="1"/>
    <xf numFmtId="0" fontId="27" fillId="0" borderId="0" xfId="1" applyFont="1" applyBorder="1" applyAlignment="1" applyProtection="1">
      <alignment horizontal="right"/>
      <protection hidden="1"/>
    </xf>
    <xf numFmtId="2" fontId="61" fillId="0" borderId="43" xfId="4" applyNumberFormat="1" applyFont="1" applyBorder="1" applyAlignment="1">
      <alignment horizontal="right"/>
    </xf>
    <xf numFmtId="0" fontId="27" fillId="0" borderId="0" xfId="1" applyFont="1" applyFill="1" applyBorder="1" applyAlignment="1" applyProtection="1">
      <alignment horizontal="left"/>
      <protection hidden="1"/>
    </xf>
    <xf numFmtId="2" fontId="61" fillId="0" borderId="43" xfId="7" applyNumberFormat="1" applyFont="1" applyBorder="1" applyAlignment="1">
      <alignment horizontal="right"/>
    </xf>
    <xf numFmtId="0" fontId="18" fillId="0" borderId="0" xfId="0" applyFont="1"/>
    <xf numFmtId="2" fontId="18" fillId="0" borderId="44" xfId="1" applyNumberFormat="1" applyFont="1" applyFill="1" applyBorder="1" applyAlignment="1" applyProtection="1">
      <alignment horizontal="right"/>
      <protection hidden="1"/>
    </xf>
    <xf numFmtId="2" fontId="61" fillId="0" borderId="44" xfId="7" applyNumberFormat="1" applyFont="1" applyBorder="1" applyAlignment="1">
      <alignment horizontal="right"/>
    </xf>
    <xf numFmtId="2" fontId="18" fillId="0" borderId="17" xfId="1" applyNumberFormat="1" applyFont="1" applyFill="1" applyBorder="1" applyAlignment="1" applyProtection="1">
      <alignment horizontal="right"/>
      <protection hidden="1"/>
    </xf>
    <xf numFmtId="2" fontId="18" fillId="0" borderId="43" xfId="1" applyNumberFormat="1" applyFont="1" applyFill="1" applyBorder="1" applyAlignment="1" applyProtection="1">
      <alignment horizontal="right"/>
      <protection hidden="1"/>
    </xf>
    <xf numFmtId="2" fontId="61" fillId="0" borderId="44" xfId="4" applyNumberFormat="1" applyFont="1" applyBorder="1" applyAlignment="1">
      <alignment horizontal="right"/>
    </xf>
    <xf numFmtId="4" fontId="18" fillId="0" borderId="0" xfId="1" applyNumberFormat="1" applyFont="1" applyFill="1" applyBorder="1" applyAlignment="1" applyProtection="1">
      <alignment horizontal="left"/>
      <protection hidden="1"/>
    </xf>
    <xf numFmtId="0" fontId="18" fillId="0" borderId="0" xfId="0" applyFont="1" applyBorder="1" applyProtection="1">
      <protection hidden="1"/>
    </xf>
    <xf numFmtId="2" fontId="61" fillId="0" borderId="17" xfId="4" applyNumberFormat="1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 applyProtection="1">
      <alignment horizontal="center"/>
      <protection hidden="1"/>
    </xf>
    <xf numFmtId="1" fontId="27" fillId="0" borderId="0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18" fillId="0" borderId="0" xfId="0" applyNumberFormat="1" applyFont="1" applyBorder="1" applyAlignment="1" applyProtection="1">
      <alignment horizontal="center" wrapText="1"/>
      <protection hidden="1"/>
    </xf>
    <xf numFmtId="0" fontId="18" fillId="0" borderId="0" xfId="0" applyFont="1" applyProtection="1">
      <protection hidden="1"/>
    </xf>
    <xf numFmtId="1" fontId="18" fillId="0" borderId="0" xfId="0" applyNumberFormat="1" applyFont="1"/>
    <xf numFmtId="2" fontId="28" fillId="0" borderId="0" xfId="1" applyNumberFormat="1" applyFont="1" applyBorder="1" applyAlignment="1" applyProtection="1">
      <alignment horizontal="right"/>
      <protection hidden="1"/>
    </xf>
    <xf numFmtId="2" fontId="18" fillId="0" borderId="17" xfId="1" applyNumberFormat="1" applyFont="1" applyFill="1" applyBorder="1" applyAlignment="1" applyProtection="1">
      <alignment horizontal="center"/>
      <protection hidden="1"/>
    </xf>
    <xf numFmtId="9" fontId="48" fillId="0" borderId="0" xfId="2" applyFont="1" applyAlignment="1" applyProtection="1">
      <alignment horizontal="left"/>
      <protection locked="0"/>
    </xf>
    <xf numFmtId="0" fontId="18" fillId="0" borderId="43" xfId="0" applyFont="1" applyBorder="1"/>
    <xf numFmtId="0" fontId="18" fillId="0" borderId="44" xfId="0" applyFont="1" applyBorder="1"/>
    <xf numFmtId="0" fontId="18" fillId="0" borderId="44" xfId="0" applyFont="1" applyBorder="1" applyAlignment="1">
      <alignment horizontal="right"/>
    </xf>
    <xf numFmtId="0" fontId="18" fillId="0" borderId="44" xfId="0" applyFont="1" applyBorder="1" applyProtection="1">
      <protection hidden="1"/>
    </xf>
    <xf numFmtId="0" fontId="18" fillId="0" borderId="44" xfId="0" applyFont="1" applyBorder="1" applyAlignment="1" applyProtection="1">
      <alignment horizontal="left"/>
      <protection hidden="1"/>
    </xf>
    <xf numFmtId="1" fontId="18" fillId="0" borderId="44" xfId="0" applyNumberFormat="1" applyFont="1" applyBorder="1" applyAlignment="1" applyProtection="1">
      <alignment horizontal="left"/>
      <protection hidden="1"/>
    </xf>
    <xf numFmtId="1" fontId="18" fillId="0" borderId="44" xfId="0" applyNumberFormat="1" applyFont="1" applyBorder="1" applyAlignment="1">
      <alignment horizontal="right"/>
    </xf>
    <xf numFmtId="0" fontId="18" fillId="0" borderId="44" xfId="0" applyFont="1" applyBorder="1" applyAlignment="1">
      <alignment horizontal="left"/>
    </xf>
    <xf numFmtId="1" fontId="18" fillId="0" borderId="44" xfId="0" applyNumberFormat="1" applyFont="1" applyFill="1" applyBorder="1" applyAlignment="1">
      <alignment horizontal="right"/>
    </xf>
    <xf numFmtId="1" fontId="18" fillId="0" borderId="44" xfId="0" applyNumberFormat="1" applyFont="1" applyBorder="1"/>
    <xf numFmtId="2" fontId="18" fillId="0" borderId="44" xfId="0" applyNumberFormat="1" applyFont="1" applyBorder="1"/>
    <xf numFmtId="1" fontId="18" fillId="0" borderId="44" xfId="1" applyNumberFormat="1" applyFont="1" applyFill="1" applyBorder="1" applyAlignment="1" applyProtection="1">
      <alignment horizontal="right"/>
      <protection hidden="1"/>
    </xf>
    <xf numFmtId="0" fontId="18" fillId="0" borderId="44" xfId="1" applyFont="1" applyFill="1" applyBorder="1" applyAlignment="1" applyProtection="1">
      <alignment horizontal="right"/>
      <protection hidden="1"/>
    </xf>
    <xf numFmtId="1" fontId="18" fillId="0" borderId="17" xfId="0" applyNumberFormat="1" applyFont="1" applyBorder="1"/>
    <xf numFmtId="0" fontId="18" fillId="0" borderId="17" xfId="0" applyFont="1" applyBorder="1"/>
    <xf numFmtId="1" fontId="18" fillId="0" borderId="17" xfId="1" applyNumberFormat="1" applyFont="1" applyFill="1" applyBorder="1" applyAlignment="1" applyProtection="1">
      <alignment horizontal="right"/>
      <protection hidden="1"/>
    </xf>
    <xf numFmtId="0" fontId="18" fillId="0" borderId="17" xfId="1" applyFont="1" applyFill="1" applyBorder="1" applyAlignment="1" applyProtection="1">
      <alignment horizontal="right"/>
      <protection hidden="1"/>
    </xf>
    <xf numFmtId="2" fontId="18" fillId="0" borderId="17" xfId="0" applyNumberFormat="1" applyFont="1" applyBorder="1"/>
    <xf numFmtId="0" fontId="18" fillId="0" borderId="43" xfId="0" applyFont="1" applyBorder="1" applyAlignment="1">
      <alignment horizontal="right"/>
    </xf>
    <xf numFmtId="0" fontId="18" fillId="0" borderId="17" xfId="0" applyFont="1" applyBorder="1" applyProtection="1">
      <protection hidden="1"/>
    </xf>
    <xf numFmtId="0" fontId="18" fillId="0" borderId="17" xfId="0" applyFont="1" applyBorder="1" applyAlignment="1">
      <alignment horizontal="right"/>
    </xf>
    <xf numFmtId="1" fontId="18" fillId="0" borderId="43" xfId="0" applyNumberFormat="1" applyFont="1" applyFill="1" applyBorder="1" applyAlignment="1">
      <alignment horizontal="right"/>
    </xf>
    <xf numFmtId="1" fontId="18" fillId="0" borderId="17" xfId="0" applyNumberFormat="1" applyFont="1" applyBorder="1" applyAlignment="1">
      <alignment horizontal="right"/>
    </xf>
    <xf numFmtId="1" fontId="18" fillId="0" borderId="43" xfId="0" applyNumberFormat="1" applyFont="1" applyBorder="1"/>
    <xf numFmtId="1" fontId="18" fillId="0" borderId="17" xfId="0" applyNumberFormat="1" applyFont="1" applyFill="1" applyBorder="1" applyAlignment="1">
      <alignment horizontal="right"/>
    </xf>
    <xf numFmtId="0" fontId="18" fillId="0" borderId="43" xfId="0" applyFont="1" applyBorder="1" applyAlignment="1">
      <alignment horizontal="left"/>
    </xf>
    <xf numFmtId="9" fontId="18" fillId="0" borderId="43" xfId="1" applyNumberFormat="1" applyFont="1" applyBorder="1" applyAlignment="1" applyProtection="1">
      <alignment horizontal="left"/>
      <protection hidden="1"/>
    </xf>
    <xf numFmtId="1" fontId="18" fillId="0" borderId="43" xfId="1" applyNumberFormat="1" applyFont="1" applyFill="1" applyBorder="1" applyAlignment="1" applyProtection="1">
      <alignment horizontal="right"/>
      <protection hidden="1"/>
    </xf>
    <xf numFmtId="0" fontId="18" fillId="0" borderId="43" xfId="1" applyFont="1" applyFill="1" applyBorder="1" applyAlignment="1" applyProtection="1">
      <alignment horizontal="right"/>
      <protection hidden="1"/>
    </xf>
    <xf numFmtId="0" fontId="18" fillId="0" borderId="44" xfId="1" applyFont="1" applyBorder="1" applyAlignment="1" applyProtection="1">
      <alignment horizontal="right"/>
      <protection hidden="1"/>
    </xf>
    <xf numFmtId="2" fontId="18" fillId="0" borderId="44" xfId="1" applyNumberFormat="1" applyFont="1" applyBorder="1" applyAlignment="1" applyProtection="1">
      <alignment horizontal="right"/>
      <protection hidden="1"/>
    </xf>
    <xf numFmtId="2" fontId="18" fillId="0" borderId="44" xfId="0" applyNumberFormat="1" applyFont="1" applyBorder="1" applyAlignment="1" applyProtection="1">
      <alignment horizontal="right" vertical="center"/>
      <protection hidden="1"/>
    </xf>
    <xf numFmtId="2" fontId="18" fillId="0" borderId="44" xfId="0" applyNumberFormat="1" applyFont="1" applyBorder="1" applyAlignment="1">
      <alignment horizontal="right"/>
    </xf>
    <xf numFmtId="0" fontId="18" fillId="0" borderId="17" xfId="0" applyFont="1" applyBorder="1" applyAlignment="1">
      <alignment horizontal="left"/>
    </xf>
    <xf numFmtId="2" fontId="18" fillId="0" borderId="17" xfId="1" applyNumberFormat="1" applyFont="1" applyBorder="1" applyAlignment="1" applyProtection="1">
      <alignment horizontal="right"/>
      <protection hidden="1"/>
    </xf>
    <xf numFmtId="2" fontId="18" fillId="0" borderId="43" xfId="0" applyNumberFormat="1" applyFont="1" applyBorder="1" applyAlignment="1">
      <alignment horizontal="right"/>
    </xf>
    <xf numFmtId="2" fontId="18" fillId="0" borderId="44" xfId="1" quotePrefix="1" applyNumberFormat="1" applyFont="1" applyBorder="1" applyAlignment="1" applyProtection="1">
      <alignment horizontal="right"/>
      <protection hidden="1"/>
    </xf>
    <xf numFmtId="0" fontId="0" fillId="7" borderId="0" xfId="0" applyFill="1"/>
    <xf numFmtId="9" fontId="6" fillId="0" borderId="11" xfId="2" applyFont="1" applyBorder="1" applyAlignment="1" applyProtection="1">
      <alignment horizontal="center"/>
      <protection hidden="1"/>
    </xf>
    <xf numFmtId="9" fontId="0" fillId="0" borderId="11" xfId="0" applyNumberForma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2" applyFont="1" applyFill="1" applyBorder="1" applyAlignment="1" applyProtection="1">
      <alignment horizontal="center"/>
      <protection hidden="1"/>
    </xf>
    <xf numFmtId="0" fontId="45" fillId="0" borderId="89" xfId="0" applyFont="1" applyFill="1" applyBorder="1"/>
    <xf numFmtId="0" fontId="45" fillId="0" borderId="95" xfId="0" applyFont="1" applyFill="1" applyBorder="1"/>
    <xf numFmtId="0" fontId="0" fillId="6" borderId="0" xfId="0" applyFill="1"/>
    <xf numFmtId="0" fontId="0" fillId="0" borderId="89" xfId="0" applyBorder="1"/>
    <xf numFmtId="0" fontId="0" fillId="0" borderId="95" xfId="0" applyBorder="1"/>
    <xf numFmtId="2" fontId="3" fillId="0" borderId="99" xfId="7" applyNumberFormat="1" applyBorder="1"/>
    <xf numFmtId="0" fontId="5" fillId="0" borderId="10" xfId="0" applyFont="1" applyFill="1" applyBorder="1" applyAlignment="1" applyProtection="1">
      <protection hidden="1"/>
    </xf>
    <xf numFmtId="2" fontId="0" fillId="0" borderId="2" xfId="0" applyNumberFormat="1" applyBorder="1" applyAlignment="1"/>
    <xf numFmtId="0" fontId="58" fillId="3" borderId="49" xfId="0" applyFont="1" applyFill="1" applyBorder="1" applyAlignment="1" applyProtection="1">
      <alignment horizontal="center"/>
      <protection hidden="1"/>
    </xf>
    <xf numFmtId="2" fontId="3" fillId="0" borderId="51" xfId="4" applyNumberFormat="1" applyBorder="1" applyAlignment="1">
      <alignment horizontal="center"/>
    </xf>
    <xf numFmtId="2" fontId="3" fillId="0" borderId="85" xfId="4" applyNumberFormat="1" applyBorder="1" applyAlignment="1">
      <alignment horizontal="center"/>
    </xf>
    <xf numFmtId="4" fontId="17" fillId="0" borderId="84" xfId="0" applyNumberFormat="1" applyFont="1" applyFill="1" applyBorder="1" applyAlignment="1" applyProtection="1">
      <alignment horizontal="center"/>
      <protection hidden="1"/>
    </xf>
    <xf numFmtId="0" fontId="14" fillId="0" borderId="84" xfId="0" applyFont="1" applyFill="1" applyBorder="1" applyAlignment="1" applyProtection="1">
      <protection hidden="1"/>
    </xf>
    <xf numFmtId="0" fontId="58" fillId="0" borderId="84" xfId="0" applyFont="1" applyFill="1" applyBorder="1" applyAlignment="1" applyProtection="1">
      <alignment horizontal="center"/>
      <protection hidden="1"/>
    </xf>
    <xf numFmtId="0" fontId="14" fillId="3" borderId="86" xfId="0" applyFont="1" applyFill="1" applyBorder="1" applyAlignment="1" applyProtection="1">
      <protection hidden="1"/>
    </xf>
    <xf numFmtId="0" fontId="11" fillId="0" borderId="100" xfId="0" applyFont="1" applyBorder="1" applyAlignment="1" applyProtection="1">
      <alignment horizontal="center"/>
      <protection hidden="1"/>
    </xf>
    <xf numFmtId="2" fontId="62" fillId="0" borderId="60" xfId="3" applyNumberFormat="1" applyFont="1" applyBorder="1" applyAlignment="1">
      <alignment horizontal="right"/>
    </xf>
    <xf numFmtId="2" fontId="62" fillId="0" borderId="11" xfId="3" applyNumberFormat="1" applyFont="1" applyBorder="1" applyAlignment="1">
      <alignment horizontal="right"/>
    </xf>
    <xf numFmtId="2" fontId="62" fillId="0" borderId="22" xfId="3" applyNumberFormat="1" applyFont="1" applyBorder="1" applyAlignment="1">
      <alignment horizontal="right"/>
    </xf>
    <xf numFmtId="2" fontId="62" fillId="0" borderId="60" xfId="4" applyNumberFormat="1" applyFont="1" applyBorder="1" applyAlignment="1">
      <alignment horizontal="right"/>
    </xf>
    <xf numFmtId="2" fontId="62" fillId="0" borderId="61" xfId="4" applyNumberFormat="1" applyFont="1" applyBorder="1" applyAlignment="1">
      <alignment horizontal="right"/>
    </xf>
    <xf numFmtId="2" fontId="62" fillId="0" borderId="11" xfId="4" applyNumberFormat="1" applyFont="1" applyBorder="1" applyAlignment="1">
      <alignment horizontal="right"/>
    </xf>
    <xf numFmtId="2" fontId="62" fillId="0" borderId="19" xfId="4" applyNumberFormat="1" applyFont="1" applyBorder="1" applyAlignment="1">
      <alignment horizontal="right"/>
    </xf>
    <xf numFmtId="2" fontId="62" fillId="0" borderId="22" xfId="4" applyNumberFormat="1" applyFont="1" applyBorder="1" applyAlignment="1">
      <alignment horizontal="right"/>
    </xf>
    <xf numFmtId="2" fontId="62" fillId="0" borderId="23" xfId="4" applyNumberFormat="1" applyFont="1" applyBorder="1" applyAlignment="1">
      <alignment horizontal="right"/>
    </xf>
    <xf numFmtId="2" fontId="62" fillId="0" borderId="18" xfId="4" applyNumberFormat="1" applyFont="1" applyBorder="1" applyAlignment="1">
      <alignment horizontal="right"/>
    </xf>
    <xf numFmtId="2" fontId="62" fillId="0" borderId="21" xfId="4" applyNumberFormat="1" applyFont="1" applyBorder="1" applyAlignment="1">
      <alignment horizontal="right"/>
    </xf>
    <xf numFmtId="0" fontId="11" fillId="0" borderId="39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protection hidden="1"/>
    </xf>
    <xf numFmtId="0" fontId="12" fillId="0" borderId="52" xfId="0" applyFont="1" applyBorder="1" applyAlignment="1" applyProtection="1">
      <alignment horizontal="center"/>
      <protection hidden="1"/>
    </xf>
    <xf numFmtId="0" fontId="0" fillId="0" borderId="52" xfId="0" applyBorder="1"/>
    <xf numFmtId="0" fontId="0" fillId="0" borderId="5" xfId="0" applyBorder="1"/>
    <xf numFmtId="0" fontId="43" fillId="0" borderId="25" xfId="0" applyFont="1" applyBorder="1" applyAlignment="1" applyProtection="1">
      <alignment horizontal="center"/>
      <protection hidden="1"/>
    </xf>
    <xf numFmtId="2" fontId="19" fillId="0" borderId="25" xfId="0" applyNumberFormat="1" applyFont="1" applyBorder="1" applyAlignment="1" applyProtection="1">
      <protection hidden="1"/>
    </xf>
    <xf numFmtId="0" fontId="32" fillId="0" borderId="0" xfId="0" applyFont="1" applyFill="1" applyAlignment="1" applyProtection="1">
      <alignment horizontal="center"/>
      <protection hidden="1"/>
    </xf>
    <xf numFmtId="14" fontId="32" fillId="0" borderId="0" xfId="0" applyNumberFormat="1" applyFont="1" applyFill="1" applyAlignment="1" applyProtection="1">
      <alignment horizontal="center"/>
      <protection hidden="1"/>
    </xf>
    <xf numFmtId="14" fontId="32" fillId="0" borderId="0" xfId="0" quotePrefix="1" applyNumberFormat="1" applyFont="1" applyFill="1" applyAlignment="1" applyProtection="1">
      <alignment horizontal="center"/>
      <protection hidden="1"/>
    </xf>
    <xf numFmtId="2" fontId="54" fillId="5" borderId="11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Protection="1">
      <protection hidden="1"/>
    </xf>
    <xf numFmtId="0" fontId="40" fillId="0" borderId="11" xfId="0" applyFont="1" applyFill="1" applyBorder="1" applyAlignment="1" applyProtection="1">
      <alignment horizontal="center"/>
      <protection hidden="1"/>
    </xf>
    <xf numFmtId="2" fontId="53" fillId="0" borderId="11" xfId="7" applyNumberFormat="1" applyFont="1" applyFill="1" applyBorder="1" applyAlignment="1">
      <alignment horizontal="center"/>
    </xf>
    <xf numFmtId="4" fontId="54" fillId="0" borderId="11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2" fontId="53" fillId="0" borderId="0" xfId="7" applyNumberFormat="1" applyFont="1" applyFill="1" applyBorder="1" applyAlignment="1">
      <alignment horizontal="center"/>
    </xf>
    <xf numFmtId="4" fontId="54" fillId="0" borderId="0" xfId="0" applyNumberFormat="1" applyFont="1" applyFill="1" applyBorder="1" applyAlignment="1" applyProtection="1">
      <alignment horizontal="center"/>
      <protection hidden="1"/>
    </xf>
    <xf numFmtId="4" fontId="33" fillId="0" borderId="0" xfId="0" applyNumberFormat="1" applyFont="1" applyFill="1" applyAlignment="1" applyProtection="1">
      <protection hidden="1"/>
    </xf>
    <xf numFmtId="4" fontId="32" fillId="0" borderId="0" xfId="0" applyNumberFormat="1" applyFont="1" applyFill="1" applyAlignment="1" applyProtection="1">
      <alignment horizontal="center"/>
      <protection hidden="1"/>
    </xf>
    <xf numFmtId="0" fontId="35" fillId="0" borderId="11" xfId="0" applyFont="1" applyFill="1" applyBorder="1" applyAlignment="1" applyProtection="1">
      <alignment horizontal="center"/>
      <protection hidden="1"/>
    </xf>
    <xf numFmtId="4" fontId="33" fillId="0" borderId="0" xfId="0" applyNumberFormat="1" applyFont="1" applyFill="1" applyProtection="1">
      <protection hidden="1"/>
    </xf>
    <xf numFmtId="1" fontId="34" fillId="7" borderId="47" xfId="0" applyNumberFormat="1" applyFont="1" applyFill="1" applyBorder="1" applyAlignment="1" applyProtection="1">
      <alignment horizontal="center"/>
      <protection hidden="1"/>
    </xf>
    <xf numFmtId="0" fontId="34" fillId="7" borderId="17" xfId="0" applyFont="1" applyFill="1" applyBorder="1" applyAlignment="1" applyProtection="1">
      <alignment horizontal="center"/>
      <protection hidden="1"/>
    </xf>
    <xf numFmtId="0" fontId="54" fillId="0" borderId="11" xfId="0" applyFont="1" applyBorder="1" applyAlignment="1">
      <alignment horizontal="center"/>
    </xf>
    <xf numFmtId="2" fontId="54" fillId="0" borderId="11" xfId="0" applyNumberFormat="1" applyFont="1" applyBorder="1" applyAlignment="1">
      <alignment horizontal="center"/>
    </xf>
    <xf numFmtId="4" fontId="32" fillId="0" borderId="0" xfId="0" applyNumberFormat="1" applyFont="1" applyFill="1" applyAlignment="1" applyProtection="1">
      <protection hidden="1"/>
    </xf>
    <xf numFmtId="14" fontId="32" fillId="0" borderId="0" xfId="0" applyNumberFormat="1" applyFont="1" applyFill="1" applyAlignment="1" applyProtection="1">
      <alignment horizontal="left"/>
      <protection hidden="1"/>
    </xf>
    <xf numFmtId="14" fontId="32" fillId="0" borderId="0" xfId="0" quotePrefix="1" applyNumberFormat="1" applyFont="1" applyFill="1" applyAlignment="1" applyProtection="1">
      <alignment horizontal="left"/>
      <protection hidden="1"/>
    </xf>
    <xf numFmtId="9" fontId="33" fillId="0" borderId="0" xfId="0" applyNumberFormat="1" applyFont="1" applyFill="1" applyProtection="1">
      <protection hidden="1"/>
    </xf>
    <xf numFmtId="0" fontId="33" fillId="0" borderId="0" xfId="0" applyFont="1" applyFill="1" applyBorder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/>
    <xf numFmtId="0" fontId="31" fillId="0" borderId="0" xfId="0" applyFont="1" applyAlignment="1" applyProtection="1">
      <protection hidden="1"/>
    </xf>
    <xf numFmtId="0" fontId="31" fillId="0" borderId="0" xfId="0" applyFont="1" applyAlignment="1">
      <alignment horizontal="right"/>
    </xf>
    <xf numFmtId="0" fontId="31" fillId="0" borderId="0" xfId="0" applyFont="1" applyAlignment="1" applyProtection="1">
      <alignment horizontal="right"/>
      <protection hidden="1"/>
    </xf>
    <xf numFmtId="0" fontId="5" fillId="0" borderId="0" xfId="0" applyFont="1" applyAlignment="1">
      <alignment horizontal="left"/>
    </xf>
    <xf numFmtId="9" fontId="49" fillId="0" borderId="0" xfId="0" applyNumberFormat="1" applyFont="1" applyAlignment="1"/>
    <xf numFmtId="0" fontId="63" fillId="0" borderId="0" xfId="0" applyFont="1" applyAlignment="1"/>
    <xf numFmtId="0" fontId="26" fillId="4" borderId="51" xfId="1" applyFont="1" applyFill="1" applyBorder="1" applyAlignment="1" applyProtection="1">
      <alignment horizontal="left"/>
      <protection hidden="1"/>
    </xf>
    <xf numFmtId="0" fontId="18" fillId="0" borderId="45" xfId="1" applyFont="1" applyFill="1" applyBorder="1" applyAlignment="1" applyProtection="1">
      <alignment horizontal="left"/>
      <protection hidden="1"/>
    </xf>
    <xf numFmtId="0" fontId="18" fillId="0" borderId="47" xfId="1" applyFont="1" applyFill="1" applyBorder="1" applyAlignment="1" applyProtection="1">
      <alignment horizontal="left"/>
      <protection hidden="1"/>
    </xf>
    <xf numFmtId="0" fontId="18" fillId="0" borderId="49" xfId="1" applyFont="1" applyFill="1" applyBorder="1" applyAlignment="1" applyProtection="1">
      <alignment horizontal="left"/>
      <protection hidden="1"/>
    </xf>
    <xf numFmtId="49" fontId="10" fillId="0" borderId="0" xfId="0" quotePrefix="1" applyNumberFormat="1" applyFont="1" applyAlignment="1" applyProtection="1">
      <alignment horizontal="right"/>
      <protection hidden="1"/>
    </xf>
    <xf numFmtId="3" fontId="6" fillId="0" borderId="101" xfId="0" applyNumberFormat="1" applyFont="1" applyBorder="1" applyAlignment="1" applyProtection="1"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0" fillId="0" borderId="66" xfId="0" applyBorder="1"/>
    <xf numFmtId="2" fontId="52" fillId="0" borderId="54" xfId="0" applyNumberFormat="1" applyFont="1" applyBorder="1" applyAlignment="1" applyProtection="1">
      <alignment horizontal="right"/>
      <protection hidden="1"/>
    </xf>
    <xf numFmtId="0" fontId="5" fillId="0" borderId="52" xfId="0" applyFont="1" applyBorder="1"/>
    <xf numFmtId="2" fontId="0" fillId="0" borderId="52" xfId="0" applyNumberFormat="1" applyBorder="1"/>
    <xf numFmtId="9" fontId="64" fillId="0" borderId="0" xfId="0" applyNumberFormat="1" applyFont="1" applyFill="1" applyAlignment="1" applyProtection="1">
      <alignment horizontal="center"/>
      <protection hidden="1"/>
    </xf>
    <xf numFmtId="0" fontId="17" fillId="0" borderId="10" xfId="0" applyFont="1" applyBorder="1" applyAlignment="1" applyProtection="1">
      <protection hidden="1"/>
    </xf>
    <xf numFmtId="0" fontId="65" fillId="0" borderId="10" xfId="0" applyFont="1" applyBorder="1" applyAlignment="1" applyProtection="1">
      <protection hidden="1"/>
    </xf>
    <xf numFmtId="165" fontId="11" fillId="0" borderId="0" xfId="2" applyNumberFormat="1" applyFont="1" applyAlignment="1" applyProtection="1">
      <protection locked="0"/>
    </xf>
    <xf numFmtId="0" fontId="0" fillId="0" borderId="28" xfId="0" applyBorder="1"/>
    <xf numFmtId="0" fontId="9" fillId="2" borderId="0" xfId="0" applyFont="1" applyFill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0" fillId="0" borderId="0" xfId="0" applyAlignment="1"/>
    <xf numFmtId="49" fontId="10" fillId="0" borderId="0" xfId="0" quotePrefix="1" applyNumberFormat="1" applyFont="1" applyAlignment="1" applyProtection="1">
      <alignment horizontal="right"/>
      <protection hidden="1"/>
    </xf>
    <xf numFmtId="165" fontId="11" fillId="0" borderId="0" xfId="2" applyNumberFormat="1" applyFont="1" applyAlignment="1" applyProtection="1">
      <alignment horizontal="center"/>
      <protection locked="0"/>
    </xf>
    <xf numFmtId="2" fontId="0" fillId="0" borderId="0" xfId="0" applyNumberFormat="1" applyFill="1"/>
    <xf numFmtId="165" fontId="12" fillId="0" borderId="0" xfId="2" applyNumberFormat="1" applyFont="1" applyAlignment="1" applyProtection="1">
      <alignment horizontal="center"/>
      <protection locked="0"/>
    </xf>
    <xf numFmtId="0" fontId="18" fillId="0" borderId="43" xfId="0" applyFont="1" applyBorder="1" applyProtection="1">
      <protection hidden="1"/>
    </xf>
    <xf numFmtId="0" fontId="18" fillId="0" borderId="17" xfId="1" applyFont="1" applyBorder="1" applyAlignment="1" applyProtection="1">
      <alignment horizontal="right"/>
      <protection hidden="1"/>
    </xf>
    <xf numFmtId="165" fontId="11" fillId="0" borderId="0" xfId="2" applyNumberFormat="1" applyFont="1"/>
    <xf numFmtId="0" fontId="59" fillId="0" borderId="0" xfId="1" applyFont="1" applyAlignment="1" applyProtection="1">
      <alignment horizontal="right"/>
      <protection hidden="1"/>
    </xf>
    <xf numFmtId="0" fontId="66" fillId="0" borderId="0" xfId="1" applyNumberFormat="1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Border="1" applyAlignment="1">
      <alignment horizontal="center"/>
    </xf>
    <xf numFmtId="1" fontId="0" fillId="0" borderId="100" xfId="0" applyNumberFormat="1" applyBorder="1" applyAlignment="1" applyProtection="1">
      <alignment horizontal="center"/>
      <protection hidden="1"/>
    </xf>
    <xf numFmtId="3" fontId="0" fillId="0" borderId="0" xfId="0" applyNumberFormat="1" applyAlignment="1"/>
    <xf numFmtId="3" fontId="67" fillId="0" borderId="0" xfId="0" applyNumberFormat="1" applyFont="1" applyBorder="1" applyAlignment="1" applyProtection="1">
      <protection hidden="1"/>
    </xf>
    <xf numFmtId="0" fontId="34" fillId="4" borderId="27" xfId="0" applyFont="1" applyFill="1" applyBorder="1" applyAlignment="1" applyProtection="1">
      <protection hidden="1"/>
    </xf>
    <xf numFmtId="0" fontId="34" fillId="4" borderId="50" xfId="0" applyFont="1" applyFill="1" applyBorder="1" applyAlignment="1" applyProtection="1">
      <protection hidden="1"/>
    </xf>
    <xf numFmtId="0" fontId="38" fillId="0" borderId="0" xfId="0" applyFont="1" applyFill="1" applyAlignment="1" applyProtection="1">
      <protection hidden="1"/>
    </xf>
    <xf numFmtId="2" fontId="6" fillId="0" borderId="11" xfId="0" applyNumberFormat="1" applyFont="1" applyBorder="1" applyAlignment="1" applyProtection="1">
      <alignment horizontal="right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2" fontId="0" fillId="0" borderId="12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2" fontId="0" fillId="0" borderId="42" xfId="0" applyNumberFormat="1" applyBorder="1" applyAlignment="1">
      <alignment horizontal="right"/>
    </xf>
    <xf numFmtId="0" fontId="0" fillId="0" borderId="102" xfId="0" applyBorder="1"/>
    <xf numFmtId="0" fontId="0" fillId="0" borderId="67" xfId="0" applyBorder="1"/>
    <xf numFmtId="0" fontId="0" fillId="0" borderId="51" xfId="0" applyBorder="1"/>
    <xf numFmtId="0" fontId="0" fillId="0" borderId="38" xfId="0" applyBorder="1"/>
    <xf numFmtId="0" fontId="0" fillId="0" borderId="103" xfId="0" applyBorder="1"/>
    <xf numFmtId="0" fontId="0" fillId="0" borderId="104" xfId="0" applyBorder="1"/>
    <xf numFmtId="0" fontId="0" fillId="0" borderId="41" xfId="0" applyBorder="1" applyAlignment="1">
      <alignment horizontal="left"/>
    </xf>
    <xf numFmtId="0" fontId="0" fillId="0" borderId="47" xfId="0" applyBorder="1"/>
    <xf numFmtId="0" fontId="0" fillId="0" borderId="105" xfId="0" applyBorder="1"/>
    <xf numFmtId="2" fontId="0" fillId="0" borderId="40" xfId="0" applyNumberFormat="1" applyBorder="1" applyAlignment="1">
      <alignment horizontal="right"/>
    </xf>
    <xf numFmtId="0" fontId="0" fillId="0" borderId="4" xfId="0" applyBorder="1"/>
    <xf numFmtId="0" fontId="0" fillId="0" borderId="58" xfId="0" applyBorder="1"/>
    <xf numFmtId="0" fontId="0" fillId="0" borderId="37" xfId="0" applyBorder="1"/>
    <xf numFmtId="0" fontId="0" fillId="0" borderId="6" xfId="0" applyBorder="1" applyAlignment="1">
      <alignment horizontal="right"/>
    </xf>
    <xf numFmtId="3" fontId="43" fillId="0" borderId="0" xfId="0" applyNumberFormat="1" applyFont="1" applyFill="1" applyBorder="1" applyAlignment="1" applyProtection="1"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2" fontId="3" fillId="0" borderId="0" xfId="7" applyNumberFormat="1" applyBorder="1" applyAlignment="1">
      <alignment horizontal="right"/>
    </xf>
    <xf numFmtId="2" fontId="0" fillId="0" borderId="0" xfId="0" applyNumberFormat="1" applyBorder="1" applyAlignment="1" applyProtection="1">
      <alignment horizontal="right"/>
      <protection hidden="1"/>
    </xf>
    <xf numFmtId="2" fontId="0" fillId="0" borderId="0" xfId="0" applyNumberFormat="1" applyBorder="1"/>
    <xf numFmtId="2" fontId="0" fillId="0" borderId="12" xfId="0" applyNumberFormat="1" applyBorder="1"/>
    <xf numFmtId="2" fontId="0" fillId="0" borderId="42" xfId="0" applyNumberFormat="1" applyBorder="1"/>
    <xf numFmtId="2" fontId="19" fillId="0" borderId="0" xfId="0" applyNumberFormat="1" applyFont="1" applyAlignment="1" applyProtection="1">
      <protection hidden="1"/>
    </xf>
    <xf numFmtId="2" fontId="52" fillId="0" borderId="25" xfId="0" applyNumberFormat="1" applyFont="1" applyBorder="1" applyAlignment="1" applyProtection="1">
      <alignment horizontal="right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14" fillId="3" borderId="74" xfId="0" applyFont="1" applyFill="1" applyBorder="1" applyAlignment="1" applyProtection="1">
      <alignment horizontal="center" vertical="center"/>
      <protection hidden="1"/>
    </xf>
    <xf numFmtId="0" fontId="6" fillId="3" borderId="75" xfId="0" applyFont="1" applyFill="1" applyBorder="1" applyAlignment="1" applyProtection="1">
      <alignment horizontal="center" vertical="center"/>
      <protection hidden="1"/>
    </xf>
    <xf numFmtId="49" fontId="10" fillId="0" borderId="0" xfId="0" quotePrefix="1" applyNumberFormat="1" applyFont="1" applyAlignment="1" applyProtection="1">
      <alignment horizontal="right"/>
      <protection hidden="1"/>
    </xf>
    <xf numFmtId="49" fontId="10" fillId="0" borderId="0" xfId="0" applyNumberFormat="1" applyFont="1" applyAlignment="1" applyProtection="1">
      <alignment horizontal="right"/>
      <protection hidden="1"/>
    </xf>
    <xf numFmtId="0" fontId="32" fillId="2" borderId="0" xfId="0" applyFont="1" applyFill="1" applyAlignment="1" applyProtection="1">
      <alignment horizontal="center"/>
      <protection hidden="1"/>
    </xf>
    <xf numFmtId="0" fontId="56" fillId="7" borderId="49" xfId="0" applyFont="1" applyFill="1" applyBorder="1" applyAlignment="1" applyProtection="1">
      <alignment horizontal="center"/>
      <protection hidden="1"/>
    </xf>
    <xf numFmtId="0" fontId="56" fillId="7" borderId="27" xfId="0" applyFont="1" applyFill="1" applyBorder="1" applyAlignment="1" applyProtection="1">
      <alignment horizontal="center"/>
      <protection hidden="1"/>
    </xf>
    <xf numFmtId="0" fontId="56" fillId="7" borderId="50" xfId="0" applyFont="1" applyFill="1" applyBorder="1" applyAlignment="1" applyProtection="1">
      <alignment horizontal="center"/>
      <protection hidden="1"/>
    </xf>
    <xf numFmtId="0" fontId="38" fillId="2" borderId="0" xfId="0" applyFont="1" applyFill="1" applyAlignment="1" applyProtection="1">
      <alignment horizontal="center"/>
      <protection hidden="1"/>
    </xf>
    <xf numFmtId="0" fontId="34" fillId="4" borderId="49" xfId="0" applyFont="1" applyFill="1" applyBorder="1" applyAlignment="1" applyProtection="1">
      <alignment horizontal="center"/>
      <protection hidden="1"/>
    </xf>
    <xf numFmtId="0" fontId="34" fillId="4" borderId="27" xfId="0" applyFont="1" applyFill="1" applyBorder="1" applyAlignment="1" applyProtection="1">
      <alignment horizontal="center"/>
      <protection hidden="1"/>
    </xf>
    <xf numFmtId="0" fontId="34" fillId="4" borderId="50" xfId="0" applyFont="1" applyFill="1" applyBorder="1" applyAlignment="1" applyProtection="1">
      <alignment horizontal="center"/>
      <protection hidden="1"/>
    </xf>
    <xf numFmtId="0" fontId="34" fillId="7" borderId="49" xfId="0" applyFont="1" applyFill="1" applyBorder="1" applyAlignment="1" applyProtection="1">
      <alignment horizontal="center"/>
      <protection hidden="1"/>
    </xf>
    <xf numFmtId="0" fontId="34" fillId="7" borderId="27" xfId="0" applyFont="1" applyFill="1" applyBorder="1" applyAlignment="1" applyProtection="1">
      <alignment horizontal="center"/>
      <protection hidden="1"/>
    </xf>
    <xf numFmtId="0" fontId="34" fillId="7" borderId="50" xfId="0" applyFont="1" applyFill="1" applyBorder="1" applyAlignment="1" applyProtection="1">
      <alignment horizontal="center"/>
      <protection hidden="1"/>
    </xf>
    <xf numFmtId="0" fontId="41" fillId="4" borderId="49" xfId="0" applyFont="1" applyFill="1" applyBorder="1" applyAlignment="1" applyProtection="1">
      <alignment horizontal="center"/>
      <protection hidden="1"/>
    </xf>
    <xf numFmtId="0" fontId="41" fillId="4" borderId="27" xfId="0" applyFont="1" applyFill="1" applyBorder="1" applyAlignment="1" applyProtection="1">
      <alignment horizontal="center"/>
      <protection hidden="1"/>
    </xf>
    <xf numFmtId="0" fontId="41" fillId="4" borderId="50" xfId="0" applyFont="1" applyFill="1" applyBorder="1" applyAlignment="1" applyProtection="1">
      <alignment horizontal="center"/>
      <protection hidden="1"/>
    </xf>
    <xf numFmtId="14" fontId="32" fillId="2" borderId="0" xfId="0" applyNumberFormat="1" applyFont="1" applyFill="1" applyAlignment="1" applyProtection="1">
      <alignment horizontal="center"/>
      <protection hidden="1"/>
    </xf>
    <xf numFmtId="14" fontId="32" fillId="2" borderId="0" xfId="0" quotePrefix="1" applyNumberFormat="1" applyFont="1" applyFill="1" applyAlignment="1" applyProtection="1">
      <alignment horizontal="center"/>
      <protection hidden="1"/>
    </xf>
    <xf numFmtId="0" fontId="6" fillId="0" borderId="51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10" fillId="2" borderId="0" xfId="0" applyFont="1" applyFill="1" applyAlignment="1">
      <alignment horizontal="center"/>
    </xf>
    <xf numFmtId="0" fontId="46" fillId="4" borderId="51" xfId="0" applyFont="1" applyFill="1" applyBorder="1" applyAlignment="1" applyProtection="1">
      <alignment horizontal="center"/>
      <protection hidden="1"/>
    </xf>
    <xf numFmtId="0" fontId="46" fillId="4" borderId="20" xfId="0" applyFont="1" applyFill="1" applyBorder="1" applyAlignment="1" applyProtection="1">
      <alignment horizontal="center"/>
      <protection hidden="1"/>
    </xf>
    <xf numFmtId="0" fontId="46" fillId="4" borderId="38" xfId="0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47" fillId="4" borderId="30" xfId="0" applyFont="1" applyFill="1" applyBorder="1" applyAlignment="1" applyProtection="1">
      <alignment horizontal="center"/>
      <protection hidden="1"/>
    </xf>
    <xf numFmtId="0" fontId="47" fillId="4" borderId="76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left"/>
      <protection hidden="1"/>
    </xf>
    <xf numFmtId="0" fontId="7" fillId="4" borderId="46" xfId="0" applyFont="1" applyFill="1" applyBorder="1" applyAlignment="1" applyProtection="1">
      <alignment horizontal="left"/>
      <protection hidden="1"/>
    </xf>
    <xf numFmtId="0" fontId="46" fillId="4" borderId="49" xfId="0" applyFont="1" applyFill="1" applyBorder="1" applyAlignment="1" applyProtection="1">
      <alignment horizontal="center"/>
      <protection hidden="1"/>
    </xf>
    <xf numFmtId="0" fontId="46" fillId="4" borderId="27" xfId="0" applyFont="1" applyFill="1" applyBorder="1" applyAlignment="1" applyProtection="1">
      <alignment horizontal="center"/>
      <protection hidden="1"/>
    </xf>
    <xf numFmtId="0" fontId="46" fillId="4" borderId="50" xfId="0" applyFont="1" applyFill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left"/>
      <protection hidden="1"/>
    </xf>
    <xf numFmtId="0" fontId="6" fillId="0" borderId="48" xfId="0" applyFont="1" applyBorder="1" applyAlignment="1" applyProtection="1">
      <alignment horizontal="left"/>
      <protection hidden="1"/>
    </xf>
    <xf numFmtId="0" fontId="21" fillId="2" borderId="0" xfId="0" applyFont="1" applyFill="1" applyAlignment="1" applyProtection="1">
      <alignment horizontal="center"/>
      <protection hidden="1"/>
    </xf>
    <xf numFmtId="0" fontId="14" fillId="3" borderId="29" xfId="0" applyFont="1" applyFill="1" applyBorder="1" applyAlignment="1" applyProtection="1">
      <alignment horizontal="center"/>
      <protection hidden="1"/>
    </xf>
    <xf numFmtId="0" fontId="14" fillId="3" borderId="30" xfId="0" applyFont="1" applyFill="1" applyBorder="1" applyAlignment="1" applyProtection="1">
      <alignment horizontal="center"/>
      <protection hidden="1"/>
    </xf>
    <xf numFmtId="0" fontId="14" fillId="3" borderId="31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4" fillId="3" borderId="77" xfId="0" applyFont="1" applyFill="1" applyBorder="1" applyAlignment="1" applyProtection="1">
      <alignment horizontal="center" vertical="center"/>
      <protection hidden="1"/>
    </xf>
    <xf numFmtId="0" fontId="6" fillId="3" borderId="79" xfId="0" applyFont="1" applyFill="1" applyBorder="1" applyAlignment="1" applyProtection="1">
      <alignment horizontal="center" vertical="center"/>
      <protection hidden="1"/>
    </xf>
    <xf numFmtId="0" fontId="14" fillId="3" borderId="68" xfId="0" applyFont="1" applyFill="1" applyBorder="1" applyAlignment="1" applyProtection="1">
      <alignment horizontal="center"/>
      <protection hidden="1"/>
    </xf>
    <xf numFmtId="0" fontId="14" fillId="3" borderId="78" xfId="0" applyFont="1" applyFill="1" applyBorder="1" applyAlignment="1" applyProtection="1">
      <alignment horizontal="center"/>
      <protection hidden="1"/>
    </xf>
    <xf numFmtId="0" fontId="14" fillId="3" borderId="86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1" fillId="0" borderId="0" xfId="0" applyFont="1"/>
  </cellXfs>
  <cellStyles count="17">
    <cellStyle name="Normal" xfId="0" builtinId="0"/>
    <cellStyle name="Normal 2" xfId="3"/>
    <cellStyle name="Normal 2 2" xfId="7"/>
    <cellStyle name="Normal 2 2 2" xfId="14"/>
    <cellStyle name="Normal 2 3" xfId="12"/>
    <cellStyle name="Normal 3" xfId="4"/>
    <cellStyle name="Normal 3 2" xfId="13"/>
    <cellStyle name="Normal 4" xfId="5"/>
    <cellStyle name="Normal 4 2" xfId="8"/>
    <cellStyle name="Normal 5" xfId="9"/>
    <cellStyle name="Normal 6" xfId="11"/>
    <cellStyle name="Normal 7" xfId="15"/>
    <cellStyle name="Normal 8" xfId="16"/>
    <cellStyle name="Normal_DRAFT_TW-PRISLISTA0503" xfId="1"/>
    <cellStyle name="Normalny_Arkusz1" xfId="10"/>
    <cellStyle name="Percent" xfId="2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3</xdr:row>
      <xdr:rowOff>95250</xdr:rowOff>
    </xdr:from>
    <xdr:to>
      <xdr:col>24</xdr:col>
      <xdr:colOff>220345</xdr:colOff>
      <xdr:row>5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628650"/>
          <a:ext cx="1950720" cy="381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4</xdr:row>
      <xdr:rowOff>85725</xdr:rowOff>
    </xdr:from>
    <xdr:to>
      <xdr:col>24</xdr:col>
      <xdr:colOff>7620</xdr:colOff>
      <xdr:row>7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876300"/>
          <a:ext cx="1950720" cy="438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405847</xdr:colOff>
      <xdr:row>2</xdr:row>
      <xdr:rowOff>66262</xdr:rowOff>
    </xdr:from>
    <xdr:to>
      <xdr:col>8</xdr:col>
      <xdr:colOff>517997</xdr:colOff>
      <xdr:row>4</xdr:row>
      <xdr:rowOff>119038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1521" y="505240"/>
          <a:ext cx="1950889" cy="3840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</xdr:row>
      <xdr:rowOff>66675</xdr:rowOff>
    </xdr:from>
    <xdr:to>
      <xdr:col>9</xdr:col>
      <xdr:colOff>512445</xdr:colOff>
      <xdr:row>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314325"/>
          <a:ext cx="1950720" cy="4381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483576</xdr:colOff>
      <xdr:row>2</xdr:row>
      <xdr:rowOff>80595</xdr:rowOff>
    </xdr:from>
    <xdr:to>
      <xdr:col>10</xdr:col>
      <xdr:colOff>395182</xdr:colOff>
      <xdr:row>4</xdr:row>
      <xdr:rowOff>139211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711" y="490903"/>
          <a:ext cx="1963144" cy="381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</xdr:row>
      <xdr:rowOff>76200</xdr:rowOff>
    </xdr:from>
    <xdr:to>
      <xdr:col>8</xdr:col>
      <xdr:colOff>226695</xdr:colOff>
      <xdr:row>3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323850"/>
          <a:ext cx="1950720" cy="381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6</xdr:row>
      <xdr:rowOff>38100</xdr:rowOff>
    </xdr:from>
    <xdr:to>
      <xdr:col>12</xdr:col>
      <xdr:colOff>436245</xdr:colOff>
      <xdr:row>8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952500"/>
          <a:ext cx="1950720" cy="381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2</xdr:row>
      <xdr:rowOff>0</xdr:rowOff>
    </xdr:from>
    <xdr:to>
      <xdr:col>11</xdr:col>
      <xdr:colOff>426720</xdr:colOff>
      <xdr:row>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457200"/>
          <a:ext cx="1950720" cy="381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2</xdr:row>
      <xdr:rowOff>38100</xdr:rowOff>
    </xdr:from>
    <xdr:to>
      <xdr:col>10</xdr:col>
      <xdr:colOff>464820</xdr:colOff>
      <xdr:row>4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476250"/>
          <a:ext cx="1950720" cy="381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85725</xdr:rowOff>
    </xdr:from>
    <xdr:to>
      <xdr:col>9</xdr:col>
      <xdr:colOff>169545</xdr:colOff>
      <xdr:row>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523875"/>
          <a:ext cx="1950720" cy="381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1</xdr:row>
      <xdr:rowOff>152400</xdr:rowOff>
    </xdr:from>
    <xdr:to>
      <xdr:col>10</xdr:col>
      <xdr:colOff>483870</xdr:colOff>
      <xdr:row>4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400050"/>
          <a:ext cx="195072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3</xdr:row>
      <xdr:rowOff>171450</xdr:rowOff>
    </xdr:from>
    <xdr:to>
      <xdr:col>27</xdr:col>
      <xdr:colOff>293370</xdr:colOff>
      <xdr:row>5</xdr:row>
      <xdr:rowOff>190500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647700"/>
          <a:ext cx="1950720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579664</xdr:colOff>
      <xdr:row>3</xdr:row>
      <xdr:rowOff>76200</xdr:rowOff>
    </xdr:from>
    <xdr:to>
      <xdr:col>20</xdr:col>
      <xdr:colOff>117838</xdr:colOff>
      <xdr:row>5</xdr:row>
      <xdr:rowOff>103414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1464" y="685800"/>
          <a:ext cx="1947999" cy="3891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226218</xdr:colOff>
      <xdr:row>3</xdr:row>
      <xdr:rowOff>119062</xdr:rowOff>
    </xdr:from>
    <xdr:to>
      <xdr:col>20</xdr:col>
      <xdr:colOff>414813</xdr:colOff>
      <xdr:row>5</xdr:row>
      <xdr:rowOff>142875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0156" y="726281"/>
          <a:ext cx="1950720" cy="381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247650</xdr:colOff>
      <xdr:row>5</xdr:row>
      <xdr:rowOff>47625</xdr:rowOff>
    </xdr:from>
    <xdr:to>
      <xdr:col>21</xdr:col>
      <xdr:colOff>255270</xdr:colOff>
      <xdr:row>7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895350"/>
          <a:ext cx="1950720" cy="381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4</xdr:row>
      <xdr:rowOff>19050</xdr:rowOff>
    </xdr:from>
    <xdr:to>
      <xdr:col>21</xdr:col>
      <xdr:colOff>238125</xdr:colOff>
      <xdr:row>5</xdr:row>
      <xdr:rowOff>182935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685800"/>
          <a:ext cx="1771650" cy="344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95250</xdr:colOff>
      <xdr:row>1</xdr:row>
      <xdr:rowOff>66675</xdr:rowOff>
    </xdr:from>
    <xdr:to>
      <xdr:col>22</xdr:col>
      <xdr:colOff>302895</xdr:colOff>
      <xdr:row>3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95275"/>
          <a:ext cx="1950720" cy="381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95250</xdr:colOff>
      <xdr:row>1</xdr:row>
      <xdr:rowOff>66675</xdr:rowOff>
    </xdr:from>
    <xdr:to>
      <xdr:col>20</xdr:col>
      <xdr:colOff>331470</xdr:colOff>
      <xdr:row>3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95275"/>
          <a:ext cx="1950720" cy="381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4</xdr:row>
      <xdr:rowOff>85725</xdr:rowOff>
    </xdr:from>
    <xdr:to>
      <xdr:col>24</xdr:col>
      <xdr:colOff>93345</xdr:colOff>
      <xdr:row>6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5" y="742950"/>
          <a:ext cx="1950720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sto/AppData/Local/Microsoft/Windows/Temporary%20Internet%20Files/Content.Outlook/HU1GNVBM/Purmo/Hinnakiri%201.10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VKO (SC)"/>
      <sheetName val="Plano"/>
      <sheetName val="PURMOKON"/>
      <sheetName val="Varusteet"/>
      <sheetName val="TW"/>
    </sheetNames>
    <sheetDataSet>
      <sheetData sheetId="0">
        <row r="24">
          <cell r="A24">
            <v>0.39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tabSelected="1" workbookViewId="0">
      <selection activeCell="U9" sqref="U9"/>
    </sheetView>
  </sheetViews>
  <sheetFormatPr defaultColWidth="8.85546875" defaultRowHeight="12.75" x14ac:dyDescent="0.2"/>
  <cols>
    <col min="1" max="1" width="5.5703125" style="1" customWidth="1"/>
    <col min="2" max="2" width="6.28515625" style="1" customWidth="1"/>
    <col min="3" max="3" width="6.7109375" style="1" customWidth="1"/>
    <col min="4" max="4" width="6.28515625" style="1" customWidth="1"/>
    <col min="5" max="6" width="6.85546875" style="1" customWidth="1"/>
    <col min="7" max="7" width="6.42578125" style="1" customWidth="1"/>
    <col min="8" max="8" width="6.5703125" style="1" customWidth="1"/>
    <col min="9" max="9" width="0.5703125" style="1" customWidth="1"/>
    <col min="10" max="15" width="6.42578125" style="1" customWidth="1"/>
    <col min="16" max="16" width="7" style="1" customWidth="1"/>
    <col min="17" max="17" width="6.5703125" style="1" customWidth="1"/>
    <col min="18" max="18" width="0.42578125" style="1" customWidth="1"/>
    <col min="19" max="20" width="7.5703125" style="1" customWidth="1"/>
    <col min="21" max="21" width="5.85546875" style="1" customWidth="1"/>
    <col min="22" max="22" width="2.85546875" style="1" customWidth="1"/>
    <col min="23" max="23" width="4.5703125" style="1" customWidth="1"/>
    <col min="24" max="24" width="3" style="1" customWidth="1"/>
    <col min="25" max="25" width="3.85546875" style="1" customWidth="1"/>
    <col min="26" max="26" width="5.42578125" style="1" customWidth="1"/>
    <col min="27" max="16384" width="8.85546875" style="1"/>
  </cols>
  <sheetData>
    <row r="1" spans="1:53" ht="19.5" x14ac:dyDescent="0.25">
      <c r="A1" s="75"/>
      <c r="B1" s="44"/>
      <c r="C1" s="44"/>
      <c r="D1" s="44"/>
      <c r="E1" s="45"/>
      <c r="F1" s="45"/>
      <c r="G1" s="45"/>
      <c r="H1" s="44"/>
      <c r="I1" s="708" t="s">
        <v>0</v>
      </c>
      <c r="J1" s="708"/>
      <c r="K1" s="708"/>
      <c r="L1" s="708"/>
      <c r="M1" s="708"/>
      <c r="N1" s="708"/>
      <c r="O1" s="708"/>
      <c r="P1" s="708"/>
      <c r="Q1" s="708"/>
      <c r="R1" s="44"/>
      <c r="S1" s="44"/>
      <c r="T1" s="44"/>
      <c r="U1" s="44"/>
      <c r="V1" s="44"/>
      <c r="W1" s="44"/>
      <c r="X1" s="44"/>
      <c r="Y1" s="44"/>
      <c r="Z1" s="44"/>
    </row>
    <row r="2" spans="1:53" ht="15" x14ac:dyDescent="0.2">
      <c r="A2" s="48" t="s">
        <v>171</v>
      </c>
      <c r="B2" s="49"/>
      <c r="C2" s="49"/>
      <c r="D2" s="49"/>
      <c r="E2" s="50"/>
      <c r="F2" s="50"/>
      <c r="G2" s="5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2"/>
      <c r="U2" s="52"/>
      <c r="V2" s="52"/>
      <c r="W2" s="43"/>
      <c r="X2" s="43"/>
      <c r="Y2" s="387" t="s">
        <v>416</v>
      </c>
      <c r="Z2" s="386"/>
    </row>
    <row r="3" spans="1:53" ht="2.25" customHeight="1" thickBot="1" x14ac:dyDescent="0.25">
      <c r="A3" s="43"/>
      <c r="B3" s="7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53" ht="14.25" thickTop="1" thickBot="1" x14ac:dyDescent="0.25">
      <c r="A4" s="78" t="s">
        <v>173</v>
      </c>
      <c r="B4" s="705" t="s">
        <v>174</v>
      </c>
      <c r="C4" s="706"/>
      <c r="D4" s="706"/>
      <c r="E4" s="706"/>
      <c r="F4" s="706"/>
      <c r="G4" s="706"/>
      <c r="H4" s="707"/>
      <c r="I4" s="43"/>
      <c r="J4" s="78" t="s">
        <v>173</v>
      </c>
      <c r="K4" s="705" t="s">
        <v>174</v>
      </c>
      <c r="L4" s="706"/>
      <c r="M4" s="706"/>
      <c r="N4" s="706"/>
      <c r="O4" s="706"/>
      <c r="P4" s="706"/>
      <c r="Q4" s="707"/>
      <c r="R4" s="43"/>
      <c r="S4" s="43"/>
      <c r="T4" s="43"/>
      <c r="U4" s="43"/>
      <c r="V4" s="43"/>
      <c r="W4" s="43"/>
      <c r="X4" s="43"/>
      <c r="Y4" s="43"/>
      <c r="Z4" s="43"/>
    </row>
    <row r="5" spans="1:53" ht="14.25" thickTop="1" thickBot="1" x14ac:dyDescent="0.25">
      <c r="A5" s="78">
        <v>11</v>
      </c>
      <c r="B5" s="82">
        <v>300</v>
      </c>
      <c r="C5" s="79">
        <v>400</v>
      </c>
      <c r="D5" s="79">
        <v>450</v>
      </c>
      <c r="E5" s="80">
        <v>500</v>
      </c>
      <c r="F5" s="80">
        <v>550</v>
      </c>
      <c r="G5" s="80">
        <v>600</v>
      </c>
      <c r="H5" s="81">
        <v>900</v>
      </c>
      <c r="I5" s="43"/>
      <c r="J5" s="78" t="s">
        <v>2</v>
      </c>
      <c r="K5" s="82">
        <v>300</v>
      </c>
      <c r="L5" s="79">
        <v>400</v>
      </c>
      <c r="M5" s="79">
        <v>450</v>
      </c>
      <c r="N5" s="80">
        <v>500</v>
      </c>
      <c r="O5" s="80">
        <v>550</v>
      </c>
      <c r="P5" s="80">
        <v>600</v>
      </c>
      <c r="Q5" s="81">
        <v>900</v>
      </c>
      <c r="R5" s="43"/>
      <c r="S5" s="43"/>
      <c r="T5" s="43"/>
      <c r="U5" s="43"/>
      <c r="V5" s="43"/>
      <c r="W5" s="43"/>
      <c r="X5" s="43"/>
      <c r="Y5" s="43"/>
      <c r="Z5" s="43"/>
    </row>
    <row r="6" spans="1:53" ht="15.75" thickTop="1" x14ac:dyDescent="0.25">
      <c r="A6" s="83">
        <v>400</v>
      </c>
      <c r="B6" s="276">
        <f>45.92*(KONST)</f>
        <v>45.92</v>
      </c>
      <c r="C6" s="277">
        <f>49.64*(KONST)</f>
        <v>49.64</v>
      </c>
      <c r="D6" s="277">
        <f>51.39*(KONST)</f>
        <v>51.39</v>
      </c>
      <c r="E6" s="277">
        <f>50.05*(KONST)</f>
        <v>50.05</v>
      </c>
      <c r="F6" s="277">
        <f>54.6*(KONST)</f>
        <v>54.6</v>
      </c>
      <c r="G6" s="290">
        <f>58.65*(KONST)</f>
        <v>58.65</v>
      </c>
      <c r="H6" s="291">
        <f>66.74*(KONST)</f>
        <v>66.739999999999995</v>
      </c>
      <c r="I6" s="43"/>
      <c r="J6" s="83">
        <v>400</v>
      </c>
      <c r="K6" s="276">
        <f>56.88*(KONST)</f>
        <v>56.88</v>
      </c>
      <c r="L6" s="277">
        <f>59.67*(KONST)</f>
        <v>59.67</v>
      </c>
      <c r="M6" s="285">
        <f>65.6*(KONST)</f>
        <v>65.599999999999994</v>
      </c>
      <c r="N6" s="277">
        <f>69.85*(KONST)</f>
        <v>69.849999999999994</v>
      </c>
      <c r="O6" s="277">
        <f>72.74*(KONST)</f>
        <v>72.739999999999995</v>
      </c>
      <c r="P6" s="277">
        <f>74.87*(KONST)</f>
        <v>74.87</v>
      </c>
      <c r="Q6" s="278">
        <f>105.8*(KONST)</f>
        <v>105.8</v>
      </c>
      <c r="R6" s="43"/>
      <c r="S6" s="43"/>
      <c r="T6" s="43"/>
      <c r="U6" s="43"/>
      <c r="V6" s="43"/>
      <c r="W6" s="43"/>
      <c r="X6" s="43"/>
      <c r="Y6" s="43"/>
      <c r="Z6" s="43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1:53" ht="15" x14ac:dyDescent="0.25">
      <c r="A7" s="84">
        <v>500</v>
      </c>
      <c r="B7" s="279">
        <f>48.48*(KONST)</f>
        <v>48.48</v>
      </c>
      <c r="C7" s="280">
        <f>52.29*(KONST)</f>
        <v>52.29</v>
      </c>
      <c r="D7" s="280">
        <f>54.92*(KONST)</f>
        <v>54.92</v>
      </c>
      <c r="E7" s="280">
        <f>54.23*(KONST)</f>
        <v>54.23</v>
      </c>
      <c r="F7" s="280">
        <f>57.56*(KONST)</f>
        <v>57.56</v>
      </c>
      <c r="G7" s="288">
        <f>60.14*(KONST)</f>
        <v>60.14</v>
      </c>
      <c r="H7" s="289">
        <f>73.73*(KONST)</f>
        <v>73.73</v>
      </c>
      <c r="I7" s="43"/>
      <c r="J7" s="84">
        <v>500</v>
      </c>
      <c r="K7" s="279">
        <f>64.27*(KONST)</f>
        <v>64.27</v>
      </c>
      <c r="L7" s="280">
        <f>67.64*(KONST)</f>
        <v>67.64</v>
      </c>
      <c r="M7" s="286">
        <f>73.99*(KONST)</f>
        <v>73.989999999999995</v>
      </c>
      <c r="N7" s="280">
        <f>79.47*(KONST)</f>
        <v>79.47</v>
      </c>
      <c r="O7" s="280">
        <f>82.44*(KONST)</f>
        <v>82.44</v>
      </c>
      <c r="P7" s="280">
        <f>84.51*(KONST)</f>
        <v>84.51</v>
      </c>
      <c r="Q7" s="281">
        <f>119.49*(KONST)</f>
        <v>119.49</v>
      </c>
      <c r="R7" s="43"/>
      <c r="S7" s="43"/>
      <c r="T7" s="43"/>
      <c r="U7" s="43"/>
      <c r="V7" s="43"/>
      <c r="W7" s="43"/>
      <c r="X7" s="43"/>
      <c r="Y7" s="43"/>
      <c r="Z7" s="43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</row>
    <row r="8" spans="1:53" ht="15" x14ac:dyDescent="0.25">
      <c r="A8" s="84">
        <v>600</v>
      </c>
      <c r="B8" s="279">
        <f>51.13*(KONST)</f>
        <v>51.13</v>
      </c>
      <c r="C8" s="280">
        <f>55.81*(KONST)</f>
        <v>55.81</v>
      </c>
      <c r="D8" s="280">
        <f>58.65*(KONST)</f>
        <v>58.65</v>
      </c>
      <c r="E8" s="280">
        <f>58.81*(KONST)</f>
        <v>58.81</v>
      </c>
      <c r="F8" s="280">
        <f>62.19*(KONST)</f>
        <v>62.19</v>
      </c>
      <c r="G8" s="288">
        <f>64.73*(KONST)</f>
        <v>64.73</v>
      </c>
      <c r="H8" s="289">
        <f>80.8*(KONST)</f>
        <v>80.8</v>
      </c>
      <c r="I8" s="43"/>
      <c r="J8" s="84">
        <v>600</v>
      </c>
      <c r="K8" s="279">
        <f>70.28*(KONST)</f>
        <v>70.28</v>
      </c>
      <c r="L8" s="280">
        <f>75.32*(KONST)</f>
        <v>75.319999999999993</v>
      </c>
      <c r="M8" s="286">
        <f>82.59*(KONST)</f>
        <v>82.59</v>
      </c>
      <c r="N8" s="280">
        <f>88.66*(KONST)</f>
        <v>88.66</v>
      </c>
      <c r="O8" s="280">
        <f>92.19*(KONST)</f>
        <v>92.19</v>
      </c>
      <c r="P8" s="280">
        <f>94.84*(KONST)</f>
        <v>94.84</v>
      </c>
      <c r="Q8" s="281">
        <f>133.5*(KONST)</f>
        <v>133.5</v>
      </c>
      <c r="R8" s="43"/>
      <c r="S8" s="43"/>
      <c r="T8" s="43"/>
      <c r="U8" s="43"/>
      <c r="V8" s="43"/>
      <c r="W8" s="43"/>
      <c r="X8" s="43"/>
      <c r="Y8" s="43"/>
      <c r="Z8" s="43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</row>
    <row r="9" spans="1:53" ht="15" x14ac:dyDescent="0.25">
      <c r="A9" s="84">
        <v>700</v>
      </c>
      <c r="B9" s="279">
        <f>53.59*(KONST)</f>
        <v>53.59</v>
      </c>
      <c r="C9" s="280">
        <f>59.06*(KONST)</f>
        <v>59.06</v>
      </c>
      <c r="D9" s="280">
        <f>62.32*(KONST)</f>
        <v>62.32</v>
      </c>
      <c r="E9" s="280">
        <f>63.66*(KONST)</f>
        <v>63.66</v>
      </c>
      <c r="F9" s="280">
        <f>66.97*(KONST)</f>
        <v>66.97</v>
      </c>
      <c r="G9" s="288">
        <f>69.39*(KONST)</f>
        <v>69.39</v>
      </c>
      <c r="H9" s="289">
        <f>87.87*(KONST)</f>
        <v>87.87</v>
      </c>
      <c r="I9" s="43"/>
      <c r="J9" s="84">
        <v>700</v>
      </c>
      <c r="K9" s="279">
        <f>76.83*(KONST)</f>
        <v>76.83</v>
      </c>
      <c r="L9" s="280">
        <f>83.45*(KONST)</f>
        <v>83.45</v>
      </c>
      <c r="M9" s="286">
        <f>91.13*(KONST)</f>
        <v>91.13</v>
      </c>
      <c r="N9" s="280">
        <f>98.1*(KONST)</f>
        <v>98.1</v>
      </c>
      <c r="O9" s="280">
        <f>102.37*(KONST)</f>
        <v>102.37</v>
      </c>
      <c r="P9" s="280">
        <f>105.35*(KONST)</f>
        <v>105.35</v>
      </c>
      <c r="Q9" s="281">
        <f>151.51*(KONST)</f>
        <v>151.51</v>
      </c>
      <c r="R9" s="43"/>
      <c r="S9" s="43"/>
      <c r="T9" s="85" t="s">
        <v>172</v>
      </c>
      <c r="U9" s="644">
        <v>0</v>
      </c>
      <c r="V9" s="43"/>
      <c r="W9" s="43"/>
      <c r="X9" s="43"/>
      <c r="Y9" s="43"/>
      <c r="Z9" s="43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</row>
    <row r="10" spans="1:53" ht="15" x14ac:dyDescent="0.25">
      <c r="A10" s="84">
        <v>800</v>
      </c>
      <c r="B10" s="279">
        <f>55.81*(KONST)</f>
        <v>55.81</v>
      </c>
      <c r="C10" s="280">
        <f>62.17*(KONST)</f>
        <v>62.17</v>
      </c>
      <c r="D10" s="280">
        <f>65.87*(KONST)</f>
        <v>65.87</v>
      </c>
      <c r="E10" s="280">
        <f>67.38*(KONST)</f>
        <v>67.38</v>
      </c>
      <c r="F10" s="280">
        <f>71.06*(KONST)</f>
        <v>71.06</v>
      </c>
      <c r="G10" s="288">
        <f>73.99*(KONST)</f>
        <v>73.989999999999995</v>
      </c>
      <c r="H10" s="289">
        <f>94.65*(KONST)</f>
        <v>94.65</v>
      </c>
      <c r="I10" s="43"/>
      <c r="J10" s="84">
        <v>800</v>
      </c>
      <c r="K10" s="279">
        <f>83.45*(KONST)</f>
        <v>83.45</v>
      </c>
      <c r="L10" s="280">
        <f>91.31*(KONST)</f>
        <v>91.31</v>
      </c>
      <c r="M10" s="286">
        <f>99.69*(KONST)</f>
        <v>99.69</v>
      </c>
      <c r="N10" s="280">
        <f>108*(KONST)</f>
        <v>108</v>
      </c>
      <c r="O10" s="280">
        <f>112.75*(KONST)</f>
        <v>112.75</v>
      </c>
      <c r="P10" s="280">
        <f>115.93*(KONST)</f>
        <v>115.93</v>
      </c>
      <c r="Q10" s="281">
        <f>169*(KONST)</f>
        <v>169</v>
      </c>
      <c r="R10" s="43"/>
      <c r="S10" s="43"/>
      <c r="T10" s="43"/>
      <c r="U10" s="43"/>
      <c r="V10" s="43"/>
      <c r="W10" s="43"/>
      <c r="X10" s="43"/>
      <c r="Y10" s="43"/>
      <c r="Z10" s="43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</row>
    <row r="11" spans="1:53" ht="15" x14ac:dyDescent="0.25">
      <c r="A11" s="84">
        <v>900</v>
      </c>
      <c r="B11" s="279">
        <f>59.26*(KONST)</f>
        <v>59.26</v>
      </c>
      <c r="C11" s="280">
        <f>66.33*(KONST)</f>
        <v>66.33</v>
      </c>
      <c r="D11" s="280">
        <f>70.28*(KONST)</f>
        <v>70.28</v>
      </c>
      <c r="E11" s="280">
        <f>72.4*(KONST)</f>
        <v>72.400000000000006</v>
      </c>
      <c r="F11" s="280">
        <f>75.87*(KONST)</f>
        <v>75.87</v>
      </c>
      <c r="G11" s="288">
        <f>78.41*(KONST)</f>
        <v>78.41</v>
      </c>
      <c r="H11" s="289">
        <f>101.03*(KONST)</f>
        <v>101.03</v>
      </c>
      <c r="I11" s="43"/>
      <c r="J11" s="84">
        <v>900</v>
      </c>
      <c r="K11" s="279">
        <f>89.97*(KONST)</f>
        <v>89.97</v>
      </c>
      <c r="L11" s="280">
        <f>98.99*(KONST)</f>
        <v>98.99</v>
      </c>
      <c r="M11" s="286">
        <f>108.24*(KONST)</f>
        <v>108.24</v>
      </c>
      <c r="N11" s="280">
        <f>117.71*(KONST)</f>
        <v>117.71</v>
      </c>
      <c r="O11" s="280">
        <f>122.82*(KONST)</f>
        <v>122.82</v>
      </c>
      <c r="P11" s="280">
        <f>126.73*(KONST)</f>
        <v>126.73</v>
      </c>
      <c r="Q11" s="281">
        <f>186.84*(KONST)</f>
        <v>186.84</v>
      </c>
      <c r="R11" s="43"/>
      <c r="S11" s="43"/>
      <c r="T11" s="43"/>
      <c r="U11" s="43"/>
      <c r="V11" s="43"/>
      <c r="W11" s="43"/>
      <c r="X11" s="43"/>
      <c r="Y11" s="43"/>
      <c r="Z11" s="43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</row>
    <row r="12" spans="1:53" ht="15.75" thickBot="1" x14ac:dyDescent="0.3">
      <c r="A12" s="84">
        <v>1000</v>
      </c>
      <c r="B12" s="279">
        <f>62.17*(KONST)</f>
        <v>62.17</v>
      </c>
      <c r="C12" s="280">
        <f>69.39*(KONST)</f>
        <v>69.39</v>
      </c>
      <c r="D12" s="280">
        <f>73.99*(KONST)</f>
        <v>73.989999999999995</v>
      </c>
      <c r="E12" s="280">
        <f>77.7*(KONST)</f>
        <v>77.7</v>
      </c>
      <c r="F12" s="280">
        <f>81.02*(KONST)</f>
        <v>81.02</v>
      </c>
      <c r="G12" s="288">
        <f>83.45*(KONST)</f>
        <v>83.45</v>
      </c>
      <c r="H12" s="289">
        <f>109.77*(KONST)</f>
        <v>109.77</v>
      </c>
      <c r="I12" s="43"/>
      <c r="J12" s="84">
        <v>1000</v>
      </c>
      <c r="K12" s="279">
        <f>96.6*(KONST)</f>
        <v>96.6</v>
      </c>
      <c r="L12" s="280">
        <f>106.66*(KONST)</f>
        <v>106.66</v>
      </c>
      <c r="M12" s="286">
        <f>116.55*(KONST)</f>
        <v>116.55</v>
      </c>
      <c r="N12" s="280">
        <f>126.87*(KONST)</f>
        <v>126.87</v>
      </c>
      <c r="O12" s="280">
        <f>132.91*(KONST)</f>
        <v>132.91</v>
      </c>
      <c r="P12" s="280">
        <f>137.23*(KONST)</f>
        <v>137.22999999999999</v>
      </c>
      <c r="Q12" s="281">
        <f>204.43*(KONST)</f>
        <v>204.43</v>
      </c>
      <c r="R12" s="43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</row>
    <row r="13" spans="1:53" ht="16.5" thickTop="1" thickBot="1" x14ac:dyDescent="0.3">
      <c r="A13" s="84">
        <v>1100</v>
      </c>
      <c r="B13" s="279">
        <f>66.92*(KONST)</f>
        <v>66.92</v>
      </c>
      <c r="C13" s="280">
        <f>75.05*(KONST)</f>
        <v>75.05</v>
      </c>
      <c r="D13" s="280">
        <f>79.74*(KONST)</f>
        <v>79.739999999999995</v>
      </c>
      <c r="E13" s="280">
        <f>83.2*(KONST)</f>
        <v>83.2</v>
      </c>
      <c r="F13" s="280">
        <f>86.56*(KONST)</f>
        <v>86.56</v>
      </c>
      <c r="G13" s="288">
        <f>88.9*(KONST)</f>
        <v>88.9</v>
      </c>
      <c r="H13" s="289">
        <f>118.58*(KONST)</f>
        <v>118.58</v>
      </c>
      <c r="I13" s="43"/>
      <c r="J13" s="84">
        <v>1100</v>
      </c>
      <c r="K13" s="279">
        <f>102.95*(KONST)</f>
        <v>102.95</v>
      </c>
      <c r="L13" s="280">
        <f>115.07*(KONST)</f>
        <v>115.07</v>
      </c>
      <c r="M13" s="286">
        <f>125.57*(KONST)</f>
        <v>125.57</v>
      </c>
      <c r="N13" s="280">
        <f>136.5*(KONST)</f>
        <v>136.5</v>
      </c>
      <c r="O13" s="280">
        <f>143.06*(KONST)</f>
        <v>143.06</v>
      </c>
      <c r="P13" s="280">
        <f>147.98*(KONST)</f>
        <v>147.97999999999999</v>
      </c>
      <c r="Q13" s="281">
        <f>222.89*(KONST)</f>
        <v>222.89</v>
      </c>
      <c r="R13" s="43"/>
      <c r="S13" s="388" t="s">
        <v>175</v>
      </c>
      <c r="T13" s="87"/>
      <c r="U13" s="87"/>
      <c r="V13" s="87"/>
      <c r="W13" s="390"/>
      <c r="X13" s="390"/>
      <c r="Y13" s="391"/>
      <c r="Z13" s="88" t="s">
        <v>170</v>
      </c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</row>
    <row r="14" spans="1:53" ht="15.75" thickTop="1" x14ac:dyDescent="0.25">
      <c r="A14" s="84">
        <v>1200</v>
      </c>
      <c r="B14" s="279">
        <f>70.46*(KONST)</f>
        <v>70.459999999999994</v>
      </c>
      <c r="C14" s="280">
        <f>79.29*(KONST)</f>
        <v>79.290000000000006</v>
      </c>
      <c r="D14" s="280">
        <f>84.06*(KONST)</f>
        <v>84.06</v>
      </c>
      <c r="E14" s="280">
        <f>88.49*(KONST)</f>
        <v>88.49</v>
      </c>
      <c r="F14" s="280">
        <f>92.33*(KONST)</f>
        <v>92.33</v>
      </c>
      <c r="G14" s="288">
        <f>95.09*(KONST)</f>
        <v>95.09</v>
      </c>
      <c r="H14" s="289">
        <f>127.33*(KONST)</f>
        <v>127.33</v>
      </c>
      <c r="I14" s="43"/>
      <c r="J14" s="84">
        <v>1200</v>
      </c>
      <c r="K14" s="279">
        <f>109.57*(KONST)</f>
        <v>109.57</v>
      </c>
      <c r="L14" s="280">
        <f>122.75*(KONST)</f>
        <v>122.75</v>
      </c>
      <c r="M14" s="286">
        <f>133.94*(KONST)</f>
        <v>133.94</v>
      </c>
      <c r="N14" s="280">
        <f>145.97*(KONST)</f>
        <v>145.97</v>
      </c>
      <c r="O14" s="280">
        <f>153.05*(KONST)</f>
        <v>153.05000000000001</v>
      </c>
      <c r="P14" s="280">
        <f>158.05*(KONST)</f>
        <v>158.05000000000001</v>
      </c>
      <c r="Q14" s="281">
        <f>239.99*(KONST)</f>
        <v>239.99</v>
      </c>
      <c r="R14" s="43"/>
      <c r="S14" s="642" t="s">
        <v>176</v>
      </c>
      <c r="T14" s="90"/>
      <c r="U14" s="90"/>
      <c r="V14" s="90"/>
      <c r="W14" s="164"/>
      <c r="X14" s="164"/>
      <c r="Y14" s="203"/>
      <c r="Z14" s="295">
        <f>4.37*(KONST)</f>
        <v>4.37</v>
      </c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</row>
    <row r="15" spans="1:53" ht="15" x14ac:dyDescent="0.25">
      <c r="A15" s="84">
        <v>1400</v>
      </c>
      <c r="B15" s="279">
        <f>84.06*(KONST)</f>
        <v>84.06</v>
      </c>
      <c r="C15" s="280">
        <f>94.39*(KONST)</f>
        <v>94.39</v>
      </c>
      <c r="D15" s="280">
        <f>100.3*(KONST)</f>
        <v>100.3</v>
      </c>
      <c r="E15" s="280">
        <f>99.24*(KONST)</f>
        <v>99.24</v>
      </c>
      <c r="F15" s="280">
        <f>103.71*(KONST)</f>
        <v>103.71</v>
      </c>
      <c r="G15" s="288">
        <f>106.66*(KONST)</f>
        <v>106.66</v>
      </c>
      <c r="H15" s="289">
        <f>145.52*(KONST)</f>
        <v>145.52000000000001</v>
      </c>
      <c r="I15" s="43"/>
      <c r="J15" s="84">
        <v>1400</v>
      </c>
      <c r="K15" s="279">
        <f>122.45*(KONST)</f>
        <v>122.45</v>
      </c>
      <c r="L15" s="280">
        <f>138.28*(KONST)</f>
        <v>138.28</v>
      </c>
      <c r="M15" s="286">
        <f>150.81*(KONST)</f>
        <v>150.81</v>
      </c>
      <c r="N15" s="280">
        <f>165.32*(KONST)</f>
        <v>165.32</v>
      </c>
      <c r="O15" s="280">
        <f>173.21*(KONST)</f>
        <v>173.21</v>
      </c>
      <c r="P15" s="280">
        <f>179.33*(KONST)</f>
        <v>179.33</v>
      </c>
      <c r="Q15" s="281">
        <f>275.49*(KONST)</f>
        <v>275.49</v>
      </c>
      <c r="R15" s="43"/>
      <c r="S15" s="92" t="s">
        <v>177</v>
      </c>
      <c r="T15" s="90"/>
      <c r="U15" s="90"/>
      <c r="V15" s="90"/>
      <c r="W15" s="164"/>
      <c r="X15" s="164"/>
      <c r="Y15" s="203"/>
      <c r="Z15" s="296">
        <f>30.33*(KONST)</f>
        <v>30.33</v>
      </c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</row>
    <row r="16" spans="1:53" ht="15" x14ac:dyDescent="0.25">
      <c r="A16" s="84">
        <v>1600</v>
      </c>
      <c r="B16" s="279">
        <f>91.13*(KONST)</f>
        <v>91.13</v>
      </c>
      <c r="C16" s="280">
        <f>102.5*(KONST)</f>
        <v>102.5</v>
      </c>
      <c r="D16" s="280">
        <f>109.13*(KONST)</f>
        <v>109.13</v>
      </c>
      <c r="E16" s="280">
        <f>110.19*(KONST)</f>
        <v>110.19</v>
      </c>
      <c r="F16" s="280">
        <f>116.68*(KONST)</f>
        <v>116.68</v>
      </c>
      <c r="G16" s="288">
        <f>122.04*(KONST)</f>
        <v>122.04</v>
      </c>
      <c r="H16" s="289">
        <f>163.54*(KONST)</f>
        <v>163.54</v>
      </c>
      <c r="I16" s="43"/>
      <c r="J16" s="84">
        <v>1600</v>
      </c>
      <c r="K16" s="279">
        <f>135.45*(KONST)</f>
        <v>135.44999999999999</v>
      </c>
      <c r="L16" s="280">
        <f>153.91*(KONST)</f>
        <v>153.91</v>
      </c>
      <c r="M16" s="286">
        <f>167.96*(KONST)</f>
        <v>167.96</v>
      </c>
      <c r="N16" s="280">
        <f>184.19*(KONST)</f>
        <v>184.19</v>
      </c>
      <c r="O16" s="280">
        <f>193.54*(KONST)</f>
        <v>193.54</v>
      </c>
      <c r="P16" s="280">
        <f>200.44*(KONST)</f>
        <v>200.44</v>
      </c>
      <c r="Q16" s="281">
        <f>311.09*(KONST)</f>
        <v>311.08999999999997</v>
      </c>
      <c r="R16" s="43"/>
      <c r="S16" s="89" t="s">
        <v>178</v>
      </c>
      <c r="T16" s="90"/>
      <c r="U16" s="90"/>
      <c r="V16" s="90"/>
      <c r="W16" s="90"/>
      <c r="X16" s="90"/>
      <c r="Y16" s="203"/>
      <c r="Z16" s="296">
        <f>22.08*(KONST)</f>
        <v>22.08</v>
      </c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</row>
    <row r="17" spans="1:44" ht="15" x14ac:dyDescent="0.25">
      <c r="A17" s="84">
        <v>1800</v>
      </c>
      <c r="B17" s="279">
        <f>101.17*(KONST)</f>
        <v>101.17</v>
      </c>
      <c r="C17" s="280">
        <f>114.19*(KONST)</f>
        <v>114.19</v>
      </c>
      <c r="D17" s="280">
        <f>121.84*(KONST)</f>
        <v>121.84</v>
      </c>
      <c r="E17" s="280">
        <f>120.97*(KONST)</f>
        <v>120.97</v>
      </c>
      <c r="F17" s="280">
        <f>129.53*(KONST)</f>
        <v>129.53</v>
      </c>
      <c r="G17" s="288">
        <f>136.5*(KONST)</f>
        <v>136.5</v>
      </c>
      <c r="H17" s="289">
        <f>182.42*(KONST)</f>
        <v>182.42</v>
      </c>
      <c r="I17" s="43"/>
      <c r="J17" s="84">
        <v>1800</v>
      </c>
      <c r="K17" s="279">
        <f>148.43*(KONST)</f>
        <v>148.43</v>
      </c>
      <c r="L17" s="280">
        <f>169.91*(KONST)</f>
        <v>169.91</v>
      </c>
      <c r="M17" s="286">
        <f>185.07*(KONST)</f>
        <v>185.07</v>
      </c>
      <c r="N17" s="280">
        <f>203.27*(KONST)</f>
        <v>203.27</v>
      </c>
      <c r="O17" s="280">
        <f>213.7*(KONST)</f>
        <v>213.7</v>
      </c>
      <c r="P17" s="280">
        <f>221.53*(KONST)</f>
        <v>221.53</v>
      </c>
      <c r="Q17" s="281">
        <f>346.22*(KONST)</f>
        <v>346.22</v>
      </c>
      <c r="R17" s="43"/>
      <c r="S17" s="89" t="s">
        <v>179</v>
      </c>
      <c r="T17" s="90"/>
      <c r="U17" s="90"/>
      <c r="V17" s="90"/>
      <c r="W17" s="90"/>
      <c r="X17" s="90"/>
      <c r="Y17" s="203"/>
      <c r="Z17" s="296">
        <f>1.86*(KONST)</f>
        <v>1.86</v>
      </c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</row>
    <row r="18" spans="1:44" ht="15" x14ac:dyDescent="0.25">
      <c r="A18" s="84">
        <v>2000</v>
      </c>
      <c r="B18" s="279">
        <f>108.24*(KONST)</f>
        <v>108.24</v>
      </c>
      <c r="C18" s="280">
        <f>122.31*(KONST)</f>
        <v>122.31</v>
      </c>
      <c r="D18" s="280">
        <f>130.59*(KONST)</f>
        <v>130.59</v>
      </c>
      <c r="E18" s="280">
        <f>132.37*(KONST)</f>
        <v>132.37</v>
      </c>
      <c r="F18" s="280">
        <f>140.48*(KONST)</f>
        <v>140.47999999999999</v>
      </c>
      <c r="G18" s="288">
        <f>147.29*(KONST)</f>
        <v>147.29</v>
      </c>
      <c r="H18" s="289">
        <f>200*(KONST)</f>
        <v>200</v>
      </c>
      <c r="I18" s="43"/>
      <c r="J18" s="84">
        <v>2000</v>
      </c>
      <c r="K18" s="279">
        <f>161.16*(KONST)</f>
        <v>161.16</v>
      </c>
      <c r="L18" s="280">
        <f>185.24*(KONST)</f>
        <v>185.24</v>
      </c>
      <c r="M18" s="286">
        <f>201.93*(KONST)</f>
        <v>201.93</v>
      </c>
      <c r="N18" s="280">
        <f>222.14*(KONST)</f>
        <v>222.14</v>
      </c>
      <c r="O18" s="280">
        <f>233.92*(KONST)</f>
        <v>233.92</v>
      </c>
      <c r="P18" s="280">
        <f>242.81*(KONST)</f>
        <v>242.81</v>
      </c>
      <c r="Q18" s="281">
        <f>382.42*(KONST)</f>
        <v>382.42</v>
      </c>
      <c r="R18" s="43"/>
      <c r="S18" s="643" t="s">
        <v>180</v>
      </c>
      <c r="T18" s="90"/>
      <c r="U18" s="90"/>
      <c r="V18" s="90"/>
      <c r="W18" s="90"/>
      <c r="X18" s="90"/>
      <c r="Y18" s="203"/>
      <c r="Z18" s="296">
        <f>8.25*(KONST)</f>
        <v>8.25</v>
      </c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</row>
    <row r="19" spans="1:44" ht="15.75" thickBot="1" x14ac:dyDescent="0.3">
      <c r="A19" s="84">
        <v>2300</v>
      </c>
      <c r="B19" s="279">
        <f>120.27*(KONST)</f>
        <v>120.27</v>
      </c>
      <c r="C19" s="280">
        <f>136.5*(KONST)</f>
        <v>136.5</v>
      </c>
      <c r="D19" s="280">
        <f>145.97*(KONST)</f>
        <v>145.97</v>
      </c>
      <c r="E19" s="280">
        <f>148.43*(KONST)</f>
        <v>148.43</v>
      </c>
      <c r="F19" s="280">
        <f>157.91*(KONST)</f>
        <v>157.91</v>
      </c>
      <c r="G19" s="288">
        <f>165.57*(KONST)</f>
        <v>165.57</v>
      </c>
      <c r="H19" s="289">
        <f>221.73*(KONST)</f>
        <v>221.73</v>
      </c>
      <c r="I19" s="43"/>
      <c r="J19" s="84">
        <v>2300</v>
      </c>
      <c r="K19" s="279">
        <f>180.93*(KONST)</f>
        <v>180.93</v>
      </c>
      <c r="L19" s="280">
        <f>209*(KONST)</f>
        <v>209</v>
      </c>
      <c r="M19" s="286">
        <f>227.64*(KONST)</f>
        <v>227.64</v>
      </c>
      <c r="N19" s="280">
        <f>251.39*(KONST)</f>
        <v>251.39</v>
      </c>
      <c r="O19" s="280">
        <f>264.57*(KONST)</f>
        <v>264.57</v>
      </c>
      <c r="P19" s="280">
        <f>274.43*(KONST)</f>
        <v>274.43</v>
      </c>
      <c r="Q19" s="281">
        <f>431.89*(KONST)</f>
        <v>431.89</v>
      </c>
      <c r="R19" s="43"/>
      <c r="S19" s="94" t="s">
        <v>181</v>
      </c>
      <c r="T19" s="95"/>
      <c r="U19" s="95"/>
      <c r="V19" s="95"/>
      <c r="W19" s="294"/>
      <c r="X19" s="294"/>
      <c r="Y19" s="177"/>
      <c r="Z19" s="297">
        <f>9.14*(KONST)</f>
        <v>9.14</v>
      </c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</row>
    <row r="20" spans="1:44" ht="15.75" thickTop="1" x14ac:dyDescent="0.25">
      <c r="A20" s="84">
        <v>2600</v>
      </c>
      <c r="B20" s="279">
        <f>130.42*(KONST)</f>
        <v>130.41999999999999</v>
      </c>
      <c r="C20" s="280">
        <f>150.81*(KONST)</f>
        <v>150.81</v>
      </c>
      <c r="D20" s="280">
        <f>161.16*(KONST)</f>
        <v>161.16</v>
      </c>
      <c r="E20" s="280">
        <f>165.32*(KONST)</f>
        <v>165.32</v>
      </c>
      <c r="F20" s="280">
        <f>177.22*(KONST)</f>
        <v>177.22</v>
      </c>
      <c r="G20" s="288">
        <f>187.02*(KONST)</f>
        <v>187.02</v>
      </c>
      <c r="H20" s="289">
        <f>246.53*(KONST)</f>
        <v>246.53</v>
      </c>
      <c r="I20" s="43"/>
      <c r="J20" s="84">
        <v>2600</v>
      </c>
      <c r="K20" s="279">
        <f>200.44*(KONST)</f>
        <v>200.44</v>
      </c>
      <c r="L20" s="280">
        <f>232.49*(KONST)</f>
        <v>232.49</v>
      </c>
      <c r="M20" s="286">
        <f>253.34*(KONST)</f>
        <v>253.34</v>
      </c>
      <c r="N20" s="280">
        <f>279.91*(KONST)</f>
        <v>279.91000000000003</v>
      </c>
      <c r="O20" s="280">
        <f>294.97*(KONST)</f>
        <v>294.97000000000003</v>
      </c>
      <c r="P20" s="280">
        <f>306.5*(KONST)</f>
        <v>306.5</v>
      </c>
      <c r="Q20" s="281">
        <f>480.16*(KONST)</f>
        <v>480.16</v>
      </c>
      <c r="R20" s="43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</row>
    <row r="21" spans="1:44" ht="15.75" thickBot="1" x14ac:dyDescent="0.3">
      <c r="A21" s="86">
        <v>3000</v>
      </c>
      <c r="B21" s="282">
        <f>149.49*(KONST)</f>
        <v>149.49</v>
      </c>
      <c r="C21" s="283">
        <f>170.6*(KONST)</f>
        <v>170.6</v>
      </c>
      <c r="D21" s="283">
        <f>182.68*(KONST)</f>
        <v>182.68</v>
      </c>
      <c r="E21" s="283">
        <f>187.29*(KONST)</f>
        <v>187.29</v>
      </c>
      <c r="F21" s="283">
        <f>199.2*(KONST)</f>
        <v>199.2</v>
      </c>
      <c r="G21" s="292">
        <f>208.75*(KONST)</f>
        <v>208.75</v>
      </c>
      <c r="H21" s="293">
        <f>279.02*(KONST)</f>
        <v>279.02</v>
      </c>
      <c r="I21" s="43"/>
      <c r="J21" s="86">
        <v>3000</v>
      </c>
      <c r="K21" s="282">
        <f>226.32*(KONST)</f>
        <v>226.32</v>
      </c>
      <c r="L21" s="283">
        <f>264.1*(KONST)</f>
        <v>264.10000000000002</v>
      </c>
      <c r="M21" s="287">
        <f>287.42*(KONST)</f>
        <v>287.42</v>
      </c>
      <c r="N21" s="283">
        <f>317.87*(KONST)</f>
        <v>317.87</v>
      </c>
      <c r="O21" s="283">
        <f>335.38*(KONST)</f>
        <v>335.38</v>
      </c>
      <c r="P21" s="283">
        <f>348.6*(KONST)</f>
        <v>348.6</v>
      </c>
      <c r="Q21" s="284">
        <f>545.33*(KONST)</f>
        <v>545.33000000000004</v>
      </c>
      <c r="R21" s="43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</row>
    <row r="22" spans="1:44" ht="3" customHeight="1" thickTop="1" thickBot="1" x14ac:dyDescent="0.25">
      <c r="A22" s="4">
        <f>(1-U9)</f>
        <v>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</row>
    <row r="23" spans="1:44" ht="14.25" thickTop="1" thickBot="1" x14ac:dyDescent="0.25">
      <c r="A23" s="78" t="s">
        <v>173</v>
      </c>
      <c r="B23" s="618" t="s">
        <v>174</v>
      </c>
      <c r="C23" s="619"/>
      <c r="D23" s="619"/>
      <c r="E23" s="619"/>
      <c r="F23" s="619"/>
      <c r="G23" s="619"/>
      <c r="H23" s="620"/>
      <c r="I23" s="43"/>
      <c r="J23" s="78" t="s">
        <v>173</v>
      </c>
      <c r="K23" s="705" t="s">
        <v>174</v>
      </c>
      <c r="L23" s="706"/>
      <c r="M23" s="706"/>
      <c r="N23" s="706"/>
      <c r="O23" s="706"/>
      <c r="P23" s="706"/>
      <c r="Q23" s="707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</row>
    <row r="24" spans="1:44" ht="14.25" thickTop="1" thickBot="1" x14ac:dyDescent="0.25">
      <c r="A24" s="78">
        <v>22</v>
      </c>
      <c r="B24" s="82">
        <v>300</v>
      </c>
      <c r="C24" s="79">
        <v>400</v>
      </c>
      <c r="D24" s="79">
        <v>450</v>
      </c>
      <c r="E24" s="80">
        <v>500</v>
      </c>
      <c r="F24" s="80">
        <v>550</v>
      </c>
      <c r="G24" s="80">
        <v>600</v>
      </c>
      <c r="H24" s="81">
        <v>900</v>
      </c>
      <c r="I24" s="43"/>
      <c r="J24" s="78">
        <v>33</v>
      </c>
      <c r="K24" s="82">
        <v>300</v>
      </c>
      <c r="L24" s="79">
        <v>400</v>
      </c>
      <c r="M24" s="79">
        <v>450</v>
      </c>
      <c r="N24" s="80">
        <v>500</v>
      </c>
      <c r="O24" s="80">
        <v>550</v>
      </c>
      <c r="P24" s="80">
        <v>600</v>
      </c>
      <c r="Q24" s="81">
        <v>900</v>
      </c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</row>
    <row r="25" spans="1:44" ht="15.75" thickTop="1" x14ac:dyDescent="0.25">
      <c r="A25" s="83">
        <v>400</v>
      </c>
      <c r="B25" s="276">
        <f>57.49*(KONST)</f>
        <v>57.49</v>
      </c>
      <c r="C25" s="277">
        <f>63.64*(KONST)</f>
        <v>63.64</v>
      </c>
      <c r="D25" s="277">
        <f>69.59*(KONST)</f>
        <v>69.59</v>
      </c>
      <c r="E25" s="277">
        <f>75.05*(KONST)</f>
        <v>75.05</v>
      </c>
      <c r="F25" s="277">
        <f>77.83*(KONST)</f>
        <v>77.83</v>
      </c>
      <c r="G25" s="285">
        <f>80.17*(KONST)</f>
        <v>80.17</v>
      </c>
      <c r="H25" s="278">
        <f>113.47*(KONST)</f>
        <v>113.47</v>
      </c>
      <c r="I25" s="43"/>
      <c r="J25" s="83">
        <v>400</v>
      </c>
      <c r="K25" s="276">
        <f>119.19*(KONST)</f>
        <v>119.19</v>
      </c>
      <c r="L25" s="277">
        <f>125.57*(KONST)</f>
        <v>125.57</v>
      </c>
      <c r="M25" s="277">
        <f>133.7*(KONST)</f>
        <v>133.69999999999999</v>
      </c>
      <c r="N25" s="277">
        <f>143.56*(KONST)</f>
        <v>143.56</v>
      </c>
      <c r="O25" s="277">
        <f>148.75*(KONST)</f>
        <v>148.75</v>
      </c>
      <c r="P25" s="277">
        <f>152.14*(KONST)</f>
        <v>152.13999999999999</v>
      </c>
      <c r="Q25" s="278">
        <f>158.05*(KONST)</f>
        <v>158.05000000000001</v>
      </c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</row>
    <row r="26" spans="1:44" ht="15" x14ac:dyDescent="0.25">
      <c r="A26" s="84">
        <v>500</v>
      </c>
      <c r="B26" s="279">
        <f>66.74*(KONST)</f>
        <v>66.739999999999995</v>
      </c>
      <c r="C26" s="280">
        <f>72.4*(KONST)</f>
        <v>72.400000000000006</v>
      </c>
      <c r="D26" s="280">
        <f>79.29*(KONST)</f>
        <v>79.290000000000006</v>
      </c>
      <c r="E26" s="280">
        <f>84.76*(KONST)</f>
        <v>84.76</v>
      </c>
      <c r="F26" s="280">
        <f>88.44*(KONST)</f>
        <v>88.44</v>
      </c>
      <c r="G26" s="286">
        <f>90.85*(KONST)</f>
        <v>90.85</v>
      </c>
      <c r="H26" s="281">
        <f>128.03*(KONST)</f>
        <v>128.03</v>
      </c>
      <c r="I26" s="43"/>
      <c r="J26" s="84">
        <v>500</v>
      </c>
      <c r="K26" s="279">
        <f>127.16*(KONST)</f>
        <v>127.16</v>
      </c>
      <c r="L26" s="280">
        <f>134.58*(KONST)</f>
        <v>134.58000000000001</v>
      </c>
      <c r="M26" s="280">
        <f>144.03*(KONST)</f>
        <v>144.03</v>
      </c>
      <c r="N26" s="280">
        <f>154.99*(KONST)</f>
        <v>154.99</v>
      </c>
      <c r="O26" s="280">
        <f>160.47*(KONST)</f>
        <v>160.47</v>
      </c>
      <c r="P26" s="280">
        <f>164.42*(KONST)</f>
        <v>164.42</v>
      </c>
      <c r="Q26" s="281">
        <f>179.33*(KONST)</f>
        <v>179.33</v>
      </c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</row>
    <row r="27" spans="1:44" ht="15" x14ac:dyDescent="0.25">
      <c r="A27" s="84">
        <v>600</v>
      </c>
      <c r="B27" s="279">
        <f>74.62*(KONST)</f>
        <v>74.62</v>
      </c>
      <c r="C27" s="280">
        <f>80.8*(KONST)</f>
        <v>80.8</v>
      </c>
      <c r="D27" s="280">
        <f>88.2*(KONST)</f>
        <v>88.2</v>
      </c>
      <c r="E27" s="280">
        <f>95.09*(KONST)</f>
        <v>95.09</v>
      </c>
      <c r="F27" s="280">
        <f>98.9*(KONST)</f>
        <v>98.9</v>
      </c>
      <c r="G27" s="286">
        <f>101.46*(KONST)</f>
        <v>101.46</v>
      </c>
      <c r="H27" s="281">
        <f>142.95*(KONST)</f>
        <v>142.94999999999999</v>
      </c>
      <c r="I27" s="43"/>
      <c r="J27" s="84">
        <v>600</v>
      </c>
      <c r="K27" s="279">
        <f>135.7*(KONST)</f>
        <v>135.69999999999999</v>
      </c>
      <c r="L27" s="280">
        <f>144.03*(KONST)</f>
        <v>144.03</v>
      </c>
      <c r="M27" s="280">
        <f>155.4*(KONST)</f>
        <v>155.4</v>
      </c>
      <c r="N27" s="280">
        <f>166.89*(KONST)</f>
        <v>166.89</v>
      </c>
      <c r="O27" s="280">
        <f>173.24*(KONST)</f>
        <v>173.24</v>
      </c>
      <c r="P27" s="280">
        <f>177.58*(KONST)</f>
        <v>177.58</v>
      </c>
      <c r="Q27" s="281">
        <f>203.55*(KONST)</f>
        <v>203.55</v>
      </c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</row>
    <row r="28" spans="1:44" ht="15" x14ac:dyDescent="0.25">
      <c r="A28" s="84">
        <v>700</v>
      </c>
      <c r="B28" s="279">
        <f>81.69*(KONST)</f>
        <v>81.69</v>
      </c>
      <c r="C28" s="280">
        <f>89.11*(KONST)</f>
        <v>89.11</v>
      </c>
      <c r="D28" s="280">
        <f>97.22*(KONST)</f>
        <v>97.22</v>
      </c>
      <c r="E28" s="280">
        <f>105.17*(KONST)</f>
        <v>105.17</v>
      </c>
      <c r="F28" s="280">
        <f>109.54*(KONST)</f>
        <v>109.54</v>
      </c>
      <c r="G28" s="286">
        <f>112.83*(KONST)</f>
        <v>112.83</v>
      </c>
      <c r="H28" s="281">
        <f>162.21*(KONST)</f>
        <v>162.21</v>
      </c>
      <c r="I28" s="43"/>
      <c r="J28" s="84">
        <v>700</v>
      </c>
      <c r="K28" s="279">
        <f>144.64*(KONST)</f>
        <v>144.63999999999999</v>
      </c>
      <c r="L28" s="280">
        <f>154.79*(KONST)</f>
        <v>154.79</v>
      </c>
      <c r="M28" s="280">
        <f>167.49*(KONST)</f>
        <v>167.49</v>
      </c>
      <c r="N28" s="280">
        <f>179.62*(KONST)</f>
        <v>179.62</v>
      </c>
      <c r="O28" s="280">
        <f>186.8*(KONST)</f>
        <v>186.8</v>
      </c>
      <c r="P28" s="280">
        <f>191.69*(KONST)</f>
        <v>191.69</v>
      </c>
      <c r="Q28" s="281">
        <f>230.74*(KONST)</f>
        <v>230.74</v>
      </c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</row>
    <row r="29" spans="1:44" ht="15" x14ac:dyDescent="0.25">
      <c r="A29" s="84">
        <v>800</v>
      </c>
      <c r="B29" s="279">
        <f>88.66*(KONST)</f>
        <v>88.66</v>
      </c>
      <c r="C29" s="280">
        <f>97.22*(KONST)</f>
        <v>97.22</v>
      </c>
      <c r="D29" s="280">
        <f>106.05*(KONST)</f>
        <v>106.05</v>
      </c>
      <c r="E29" s="280">
        <f>115.24*(KONST)</f>
        <v>115.24</v>
      </c>
      <c r="F29" s="280">
        <f>120.51*(KONST)</f>
        <v>120.51</v>
      </c>
      <c r="G29" s="286">
        <f>124.49*(KONST)</f>
        <v>124.49</v>
      </c>
      <c r="H29" s="281">
        <f>180.93*(KONST)</f>
        <v>180.93</v>
      </c>
      <c r="I29" s="43"/>
      <c r="J29" s="84">
        <v>800</v>
      </c>
      <c r="K29" s="279">
        <f>154.09*(KONST)</f>
        <v>154.09</v>
      </c>
      <c r="L29" s="280">
        <f>165.57*(KONST)</f>
        <v>165.57</v>
      </c>
      <c r="M29" s="280">
        <f>180.49*(KONST)</f>
        <v>180.49</v>
      </c>
      <c r="N29" s="280">
        <f>193.84*(KONST)</f>
        <v>193.84</v>
      </c>
      <c r="O29" s="280">
        <f>201.59*(KONST)</f>
        <v>201.59</v>
      </c>
      <c r="P29" s="280">
        <f>207.06*(KONST)</f>
        <v>207.06</v>
      </c>
      <c r="Q29" s="281">
        <f>261*(KONST)</f>
        <v>261</v>
      </c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</row>
    <row r="30" spans="1:44" ht="15" x14ac:dyDescent="0.25">
      <c r="A30" s="84">
        <v>900</v>
      </c>
      <c r="B30" s="279">
        <f>95.73*(KONST)</f>
        <v>95.73</v>
      </c>
      <c r="C30" s="280">
        <f>105.8*(KONST)</f>
        <v>105.8</v>
      </c>
      <c r="D30" s="280">
        <f>115.5*(KONST)</f>
        <v>115.5</v>
      </c>
      <c r="E30" s="280">
        <f>125.84*(KONST)</f>
        <v>125.84</v>
      </c>
      <c r="F30" s="280">
        <f>131.38*(KONST)</f>
        <v>131.38</v>
      </c>
      <c r="G30" s="286">
        <f>135.7*(KONST)</f>
        <v>135.69999999999999</v>
      </c>
      <c r="H30" s="281">
        <f>200*(KONST)</f>
        <v>200</v>
      </c>
      <c r="I30" s="43"/>
      <c r="J30" s="84">
        <v>900</v>
      </c>
      <c r="K30" s="279">
        <f>163.96*(KONST)</f>
        <v>163.96</v>
      </c>
      <c r="L30" s="280">
        <f>177.85*(KONST)</f>
        <v>177.85</v>
      </c>
      <c r="M30" s="280">
        <f>193.65*(KONST)</f>
        <v>193.65</v>
      </c>
      <c r="N30" s="280">
        <f>208.55*(KONST)</f>
        <v>208.55</v>
      </c>
      <c r="O30" s="280">
        <f>217.4*(KONST)</f>
        <v>217.4</v>
      </c>
      <c r="P30" s="280">
        <f>223.48*(KONST)</f>
        <v>223.48</v>
      </c>
      <c r="Q30" s="281">
        <f>279.71*(KONST)</f>
        <v>279.70999999999998</v>
      </c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</row>
    <row r="31" spans="1:44" ht="15" x14ac:dyDescent="0.25">
      <c r="A31" s="84">
        <v>1000</v>
      </c>
      <c r="B31" s="279">
        <f>102.5*(KONST)</f>
        <v>102.5</v>
      </c>
      <c r="C31" s="280">
        <f>113.91*(KONST)</f>
        <v>113.91</v>
      </c>
      <c r="D31" s="280">
        <f>124.95*(KONST)</f>
        <v>124.95</v>
      </c>
      <c r="E31" s="280">
        <f>135.7*(KONST)</f>
        <v>135.69999999999999</v>
      </c>
      <c r="F31" s="280">
        <f>142.24*(KONST)</f>
        <v>142.24</v>
      </c>
      <c r="G31" s="286">
        <f>147.29*(KONST)</f>
        <v>147.29</v>
      </c>
      <c r="H31" s="281">
        <f>219.35*(KONST)</f>
        <v>219.35</v>
      </c>
      <c r="I31" s="43"/>
      <c r="J31" s="84">
        <v>1000</v>
      </c>
      <c r="K31" s="279">
        <f>173.67*(KONST)</f>
        <v>173.67</v>
      </c>
      <c r="L31" s="280">
        <f>189.66*(KONST)</f>
        <v>189.66</v>
      </c>
      <c r="M31" s="280">
        <f>206.61*(KONST)</f>
        <v>206.61</v>
      </c>
      <c r="N31" s="280">
        <f>223.04*(KONST)</f>
        <v>223.04</v>
      </c>
      <c r="O31" s="280">
        <f>232.67*(KONST)</f>
        <v>232.67</v>
      </c>
      <c r="P31" s="280">
        <f>239.55*(KONST)</f>
        <v>239.55</v>
      </c>
      <c r="Q31" s="281">
        <f>299.68*(KONST)</f>
        <v>299.68</v>
      </c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</row>
    <row r="32" spans="1:44" ht="15" x14ac:dyDescent="0.25">
      <c r="A32" s="84">
        <v>1100</v>
      </c>
      <c r="B32" s="279">
        <f>109.57*(KONST)</f>
        <v>109.57</v>
      </c>
      <c r="C32" s="280">
        <f>122.75*(KONST)</f>
        <v>122.75</v>
      </c>
      <c r="D32" s="280">
        <f>133.94*(KONST)</f>
        <v>133.94</v>
      </c>
      <c r="E32" s="280">
        <f>145.97*(KONST)</f>
        <v>145.97</v>
      </c>
      <c r="F32" s="280">
        <f>152.85*(KONST)</f>
        <v>152.85</v>
      </c>
      <c r="G32" s="286">
        <f>157.87*(KONST)</f>
        <v>157.87</v>
      </c>
      <c r="H32" s="281">
        <f>237.99*(KONST)</f>
        <v>237.99</v>
      </c>
      <c r="I32" s="43"/>
      <c r="J32" s="84">
        <v>1100</v>
      </c>
      <c r="K32" s="279">
        <f>183.29*(KONST)</f>
        <v>183.29</v>
      </c>
      <c r="L32" s="280">
        <f>201.78*(KONST)</f>
        <v>201.78</v>
      </c>
      <c r="M32" s="280">
        <f>219.78*(KONST)</f>
        <v>219.78</v>
      </c>
      <c r="N32" s="280">
        <f>237.99*(KONST)</f>
        <v>237.99</v>
      </c>
      <c r="O32" s="280">
        <f>248.45*(KONST)</f>
        <v>248.45</v>
      </c>
      <c r="P32" s="280">
        <f>255.99*(KONST)</f>
        <v>255.99</v>
      </c>
      <c r="Q32" s="281">
        <f>320.97*(KONST)</f>
        <v>320.97000000000003</v>
      </c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</row>
    <row r="33" spans="1:44" ht="15" x14ac:dyDescent="0.25">
      <c r="A33" s="84">
        <v>1200</v>
      </c>
      <c r="B33" s="279">
        <f>115.93*(KONST)</f>
        <v>115.93</v>
      </c>
      <c r="C33" s="280">
        <f>131.05*(KONST)</f>
        <v>131.05000000000001</v>
      </c>
      <c r="D33" s="280">
        <f>142.7*(KONST)</f>
        <v>142.69999999999999</v>
      </c>
      <c r="E33" s="280">
        <f>156.3*(KONST)</f>
        <v>156.30000000000001</v>
      </c>
      <c r="F33" s="280">
        <f>163.88*(KONST)</f>
        <v>163.88</v>
      </c>
      <c r="G33" s="286">
        <f>169.71*(KONST)</f>
        <v>169.71</v>
      </c>
      <c r="H33" s="281">
        <f>257.04*(KONST)</f>
        <v>257.04000000000002</v>
      </c>
      <c r="I33" s="43"/>
      <c r="J33" s="84">
        <v>1200</v>
      </c>
      <c r="K33" s="279">
        <f>193.2*(KONST)</f>
        <v>193.2</v>
      </c>
      <c r="L33" s="280">
        <f>213.6*(KONST)</f>
        <v>213.6</v>
      </c>
      <c r="M33" s="280">
        <f>232.92*(KONST)</f>
        <v>232.92</v>
      </c>
      <c r="N33" s="280">
        <f>252.73*(KONST)</f>
        <v>252.73</v>
      </c>
      <c r="O33" s="280">
        <f>264.15*(KONST)</f>
        <v>264.14999999999998</v>
      </c>
      <c r="P33" s="280">
        <f>272.47*(KONST)</f>
        <v>272.47000000000003</v>
      </c>
      <c r="Q33" s="281">
        <f>344*(KONST)</f>
        <v>344</v>
      </c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</row>
    <row r="34" spans="1:44" ht="15" x14ac:dyDescent="0.25">
      <c r="A34" s="84">
        <v>1400</v>
      </c>
      <c r="B34" s="279">
        <f>129.99*(KONST)</f>
        <v>129.99</v>
      </c>
      <c r="C34" s="280">
        <f>147.98*(KONST)</f>
        <v>147.97999999999999</v>
      </c>
      <c r="D34" s="280">
        <f>161.16*(KONST)</f>
        <v>161.16</v>
      </c>
      <c r="E34" s="280">
        <f>176.69*(KONST)</f>
        <v>176.69</v>
      </c>
      <c r="F34" s="280">
        <f>185.72*(KONST)</f>
        <v>185.72</v>
      </c>
      <c r="G34" s="286">
        <f>192.31*(KONST)</f>
        <v>192.31</v>
      </c>
      <c r="H34" s="281">
        <f>295.09*(KONST)</f>
        <v>295.08999999999997</v>
      </c>
      <c r="I34" s="43"/>
      <c r="J34" s="84">
        <v>1400</v>
      </c>
      <c r="K34" s="279">
        <f>212.72*(KONST)</f>
        <v>212.72</v>
      </c>
      <c r="L34" s="280">
        <f>237.99*(KONST)</f>
        <v>237.99</v>
      </c>
      <c r="M34" s="280">
        <f>258.8*(KONST)</f>
        <v>258.8</v>
      </c>
      <c r="N34" s="280">
        <f>281.66*(KONST)</f>
        <v>281.66000000000003</v>
      </c>
      <c r="O34" s="280">
        <f>295.29*(KONST)</f>
        <v>295.29000000000002</v>
      </c>
      <c r="P34" s="280">
        <f>304.9*(KONST)</f>
        <v>304.89999999999998</v>
      </c>
      <c r="Q34" s="281">
        <f>383.74*(KONST)</f>
        <v>383.74</v>
      </c>
      <c r="S34" s="389" t="s">
        <v>412</v>
      </c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</row>
    <row r="35" spans="1:44" ht="15" x14ac:dyDescent="0.25">
      <c r="A35" s="84">
        <v>1600</v>
      </c>
      <c r="B35" s="279">
        <f>143.83*(KONST)</f>
        <v>143.83000000000001</v>
      </c>
      <c r="C35" s="280">
        <f>164.42*(KONST)</f>
        <v>164.42</v>
      </c>
      <c r="D35" s="280">
        <f>179.33*(KONST)</f>
        <v>179.33</v>
      </c>
      <c r="E35" s="280">
        <f>197.18*(KONST)</f>
        <v>197.18</v>
      </c>
      <c r="F35" s="280">
        <f>207.27*(KONST)</f>
        <v>207.27</v>
      </c>
      <c r="G35" s="286">
        <f>214.92*(KONST)</f>
        <v>214.92</v>
      </c>
      <c r="H35" s="281">
        <f>333.07*(KONST)</f>
        <v>333.07</v>
      </c>
      <c r="I35" s="43"/>
      <c r="J35" s="84">
        <v>1600</v>
      </c>
      <c r="K35" s="279">
        <f>232.32*(KONST)</f>
        <v>232.32</v>
      </c>
      <c r="L35" s="280">
        <f>261.73*(KONST)</f>
        <v>261.73</v>
      </c>
      <c r="M35" s="280">
        <f>284.92*(KONST)</f>
        <v>284.92</v>
      </c>
      <c r="N35" s="280">
        <f>311.33*(KONST)</f>
        <v>311.33</v>
      </c>
      <c r="O35" s="280">
        <f>326.54*(KONST)</f>
        <v>326.54000000000002</v>
      </c>
      <c r="P35" s="280">
        <f>337.67*(KONST)</f>
        <v>337.67</v>
      </c>
      <c r="Q35" s="281">
        <f>422.58*(KONST)</f>
        <v>422.58</v>
      </c>
      <c r="S35" s="1" t="s">
        <v>413</v>
      </c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</row>
    <row r="36" spans="1:44" ht="15" x14ac:dyDescent="0.25">
      <c r="A36" s="84">
        <v>1800</v>
      </c>
      <c r="B36" s="279">
        <f>157.44*(KONST)</f>
        <v>157.44</v>
      </c>
      <c r="C36" s="280">
        <f>181.37*(KONST)</f>
        <v>181.37</v>
      </c>
      <c r="D36" s="280">
        <f>197.6*(KONST)</f>
        <v>197.6</v>
      </c>
      <c r="E36" s="280">
        <f>217.57*(KONST)</f>
        <v>217.57</v>
      </c>
      <c r="F36" s="280">
        <f>228.97*(KONST)</f>
        <v>228.97</v>
      </c>
      <c r="G36" s="286">
        <f>237.99*(KONST)</f>
        <v>237.99</v>
      </c>
      <c r="H36" s="281">
        <f>371.22*(KONST)</f>
        <v>371.22</v>
      </c>
      <c r="I36" s="43"/>
      <c r="J36" s="84">
        <v>1800</v>
      </c>
      <c r="K36" s="279">
        <f>245.92*(KONST)</f>
        <v>245.92</v>
      </c>
      <c r="L36" s="280">
        <f>285.82*(KONST)</f>
        <v>285.82</v>
      </c>
      <c r="M36" s="280">
        <f>311.09*(KONST)</f>
        <v>311.08999999999997</v>
      </c>
      <c r="N36" s="280">
        <f>340.92*(KONST)</f>
        <v>340.92</v>
      </c>
      <c r="O36" s="280">
        <f>357.79*(KONST)</f>
        <v>357.79</v>
      </c>
      <c r="P36" s="280">
        <f>370.59*(KONST)</f>
        <v>370.59</v>
      </c>
      <c r="Q36" s="281">
        <f>465.42*(KONST)</f>
        <v>465.42</v>
      </c>
      <c r="S36" s="40" t="s">
        <v>183</v>
      </c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</row>
    <row r="37" spans="1:44" ht="15" x14ac:dyDescent="0.25">
      <c r="A37" s="84">
        <v>2000</v>
      </c>
      <c r="B37" s="279">
        <f>171.22*(KONST)</f>
        <v>171.22</v>
      </c>
      <c r="C37" s="280">
        <f>198.23*(KONST)</f>
        <v>198.23</v>
      </c>
      <c r="D37" s="280">
        <f>216.06*(KONST)</f>
        <v>216.06</v>
      </c>
      <c r="E37" s="280">
        <f>238.22*(KONST)</f>
        <v>238.22</v>
      </c>
      <c r="F37" s="280">
        <f>250.78*(KONST)</f>
        <v>250.78</v>
      </c>
      <c r="G37" s="286">
        <f>260.41*(KONST)</f>
        <v>260.41000000000003</v>
      </c>
      <c r="H37" s="281">
        <f>409.61*(KONST)</f>
        <v>409.61</v>
      </c>
      <c r="I37" s="43"/>
      <c r="J37" s="84">
        <v>2000</v>
      </c>
      <c r="K37" s="279">
        <f>271.17*(KONST)</f>
        <v>271.17</v>
      </c>
      <c r="L37" s="280">
        <f>310.01*(KONST)</f>
        <v>310.01</v>
      </c>
      <c r="M37" s="280">
        <f>337.4*(KONST)</f>
        <v>337.4</v>
      </c>
      <c r="N37" s="280">
        <f>370.16*(KONST)</f>
        <v>370.16</v>
      </c>
      <c r="O37" s="280">
        <f>389.07*(KONST)</f>
        <v>389.07</v>
      </c>
      <c r="P37" s="280">
        <f>402.83*(KONST)</f>
        <v>402.83</v>
      </c>
      <c r="Q37" s="281">
        <f>502.94*(KONST)</f>
        <v>502.94</v>
      </c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</row>
    <row r="38" spans="1:44" ht="15" x14ac:dyDescent="0.25">
      <c r="A38" s="84">
        <v>2300</v>
      </c>
      <c r="B38" s="279">
        <f>191.69*(KONST)</f>
        <v>191.69</v>
      </c>
      <c r="C38" s="280">
        <f>223.48*(KONST)</f>
        <v>223.48</v>
      </c>
      <c r="D38" s="280">
        <f>243.27*(KONST)</f>
        <v>243.27</v>
      </c>
      <c r="E38" s="280">
        <f>268.96*(KONST)</f>
        <v>268.95999999999998</v>
      </c>
      <c r="F38" s="280">
        <f>283.63*(KONST)</f>
        <v>283.63</v>
      </c>
      <c r="G38" s="286">
        <f>294.84*(KONST)</f>
        <v>294.83999999999997</v>
      </c>
      <c r="H38" s="281">
        <f>463.22*(KONST)</f>
        <v>463.22</v>
      </c>
      <c r="I38" s="43"/>
      <c r="J38" s="84">
        <v>2300</v>
      </c>
      <c r="K38" s="279">
        <f>300.59*(KONST)</f>
        <v>300.58999999999997</v>
      </c>
      <c r="L38" s="280">
        <f>345.96*(KONST)</f>
        <v>345.96</v>
      </c>
      <c r="M38" s="280">
        <f>376.34*(KONST)</f>
        <v>376.34</v>
      </c>
      <c r="N38" s="280">
        <f>414.5*(KONST)</f>
        <v>414.5</v>
      </c>
      <c r="O38" s="280">
        <f>436.05*(KONST)</f>
        <v>436.05</v>
      </c>
      <c r="P38" s="280">
        <f>452.27*(KONST)</f>
        <v>452.27</v>
      </c>
      <c r="Q38" s="281">
        <f>543.56*(KONST)</f>
        <v>543.55999999999995</v>
      </c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</row>
    <row r="39" spans="1:44" ht="15" x14ac:dyDescent="0.25">
      <c r="A39" s="84">
        <v>2600</v>
      </c>
      <c r="B39" s="279">
        <f>212.72*(KONST)</f>
        <v>212.72</v>
      </c>
      <c r="C39" s="280">
        <f>248.74*(KONST)</f>
        <v>248.74</v>
      </c>
      <c r="D39" s="280">
        <f>270.9*(KONST)</f>
        <v>270.89999999999998</v>
      </c>
      <c r="E39" s="280">
        <f>299.68*(KONST)</f>
        <v>299.68</v>
      </c>
      <c r="F39" s="280">
        <f>316.1*(KONST)</f>
        <v>316.10000000000002</v>
      </c>
      <c r="G39" s="286">
        <f>328.83*(KONST)</f>
        <v>328.83</v>
      </c>
      <c r="H39" s="281">
        <f>514.79*(KONST)</f>
        <v>514.79</v>
      </c>
      <c r="I39" s="43"/>
      <c r="J39" s="84">
        <v>2600</v>
      </c>
      <c r="K39" s="279">
        <f>329.53*(KONST)</f>
        <v>329.53</v>
      </c>
      <c r="L39" s="280">
        <f>381.82*(KONST)</f>
        <v>381.82</v>
      </c>
      <c r="M39" s="280">
        <f>415.36*(KONST)</f>
        <v>415.36</v>
      </c>
      <c r="N39" s="280">
        <f>458.64*(KONST)</f>
        <v>458.64</v>
      </c>
      <c r="O39" s="280">
        <f>483.14*(KONST)</f>
        <v>483.14</v>
      </c>
      <c r="P39" s="280">
        <f>501.44*(KONST)</f>
        <v>501.44</v>
      </c>
      <c r="Q39" s="281">
        <f>602.2*(KONST)</f>
        <v>602.20000000000005</v>
      </c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</row>
    <row r="40" spans="1:44" ht="15.75" thickBot="1" x14ac:dyDescent="0.3">
      <c r="A40" s="86">
        <v>3000</v>
      </c>
      <c r="B40" s="282">
        <f>240.17*(KONST)</f>
        <v>240.17</v>
      </c>
      <c r="C40" s="283">
        <f>282.28*(KONST)</f>
        <v>282.27999999999997</v>
      </c>
      <c r="D40" s="283">
        <f>307.37*(KONST)</f>
        <v>307.37</v>
      </c>
      <c r="E40" s="283">
        <f>340.92*(KONST)</f>
        <v>340.92</v>
      </c>
      <c r="F40" s="283">
        <f>359.61*(KONST)</f>
        <v>359.61</v>
      </c>
      <c r="G40" s="287">
        <f>374.11*(KONST)</f>
        <v>374.11</v>
      </c>
      <c r="H40" s="284">
        <f>585.34*(KONST)</f>
        <v>585.34</v>
      </c>
      <c r="I40" s="43"/>
      <c r="J40" s="86">
        <v>3000</v>
      </c>
      <c r="K40" s="282">
        <f>359.83*(KONST)</f>
        <v>359.83</v>
      </c>
      <c r="L40" s="283">
        <f>420.66*(KONST)</f>
        <v>420.66</v>
      </c>
      <c r="M40" s="283">
        <f>457.76*(KONST)</f>
        <v>457.76</v>
      </c>
      <c r="N40" s="283">
        <f>506.94*(KONST)</f>
        <v>506.94</v>
      </c>
      <c r="O40" s="283">
        <f>534.64*(KONST)</f>
        <v>534.64</v>
      </c>
      <c r="P40" s="283">
        <f>555.67*(KONST)</f>
        <v>555.66999999999996</v>
      </c>
      <c r="Q40" s="284">
        <f>667.64*(KONST)</f>
        <v>667.64</v>
      </c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</row>
    <row r="41" spans="1:44" ht="13.5" thickTop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</row>
    <row r="42" spans="1:44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</row>
    <row r="43" spans="1:44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</row>
    <row r="44" spans="1:44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</row>
    <row r="45" spans="1:44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</row>
    <row r="46" spans="1:44" x14ac:dyDescent="0.2"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</row>
    <row r="47" spans="1:44" x14ac:dyDescent="0.2"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</row>
    <row r="48" spans="1:44" x14ac:dyDescent="0.2"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</row>
    <row r="49" spans="29:44" x14ac:dyDescent="0.2"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</row>
    <row r="50" spans="29:44" x14ac:dyDescent="0.2"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</row>
    <row r="51" spans="29:44" x14ac:dyDescent="0.2"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</row>
    <row r="52" spans="29:44" x14ac:dyDescent="0.2"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</row>
    <row r="53" spans="29:44" x14ac:dyDescent="0.2"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</row>
    <row r="54" spans="29:44" x14ac:dyDescent="0.2"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</row>
  </sheetData>
  <sheetProtection formatCells="0" formatColumns="0" formatRows="0" insertColumns="0" insertRows="0" insertHyperlinks="0" deleteColumns="0" deleteRows="0" sort="0" autoFilter="0" pivotTables="0"/>
  <mergeCells count="4">
    <mergeCell ref="K4:Q4"/>
    <mergeCell ref="K23:Q23"/>
    <mergeCell ref="I1:Q1"/>
    <mergeCell ref="B4:H4"/>
  </mergeCells>
  <phoneticPr fontId="0" type="noConversion"/>
  <pageMargins left="0.23622047244094491" right="0.23622047244094491" top="0.19685039370078741" bottom="0.15748031496062992" header="0.11811023622047245" footer="0.118110236220472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W9" sqref="W9"/>
    </sheetView>
  </sheetViews>
  <sheetFormatPr defaultRowHeight="12.75" x14ac:dyDescent="0.2"/>
  <cols>
    <col min="1" max="1" width="1.42578125" customWidth="1"/>
    <col min="2" max="2" width="6.28515625" customWidth="1"/>
    <col min="3" max="7" width="7" customWidth="1"/>
    <col min="8" max="8" width="0.7109375" customWidth="1"/>
    <col min="9" max="9" width="6.140625" customWidth="1"/>
    <col min="10" max="14" width="7.7109375" customWidth="1"/>
    <col min="15" max="15" width="0.7109375" customWidth="1"/>
    <col min="17" max="22" width="2.85546875" customWidth="1"/>
    <col min="24" max="24" width="8.5703125" customWidth="1"/>
    <col min="25" max="25" width="6.140625" customWidth="1"/>
  </cols>
  <sheetData>
    <row r="1" spans="1:25" ht="19.5" x14ac:dyDescent="0.25">
      <c r="A1" s="143" t="s">
        <v>171</v>
      </c>
      <c r="B1" s="75"/>
      <c r="C1" s="44"/>
      <c r="D1" s="44"/>
      <c r="E1" s="45"/>
      <c r="F1" s="45"/>
      <c r="G1" s="44"/>
      <c r="H1" s="708" t="s">
        <v>418</v>
      </c>
      <c r="I1" s="708"/>
      <c r="J1" s="708"/>
      <c r="K1" s="708"/>
      <c r="L1" s="708"/>
      <c r="M1" s="708"/>
      <c r="N1" s="708"/>
      <c r="O1" s="44"/>
      <c r="P1" s="44"/>
      <c r="Q1" s="44"/>
      <c r="R1" s="44"/>
      <c r="S1" s="44"/>
      <c r="T1" s="44"/>
      <c r="U1" s="44"/>
      <c r="V1" s="44"/>
      <c r="W1" s="44"/>
      <c r="X1" s="44"/>
      <c r="Y1" s="156"/>
    </row>
    <row r="2" spans="1:25" ht="15" x14ac:dyDescent="0.2">
      <c r="A2" s="650"/>
      <c r="B2" s="48"/>
      <c r="C2" s="49"/>
      <c r="D2" s="49"/>
      <c r="E2" s="50"/>
      <c r="F2" s="50"/>
      <c r="G2" s="49"/>
      <c r="H2" s="49"/>
      <c r="I2" s="49"/>
      <c r="J2" s="272"/>
      <c r="K2" s="272"/>
      <c r="L2" s="272"/>
      <c r="M2" s="272"/>
      <c r="N2" s="49"/>
      <c r="O2" s="49"/>
      <c r="P2" s="49"/>
      <c r="Q2" s="49"/>
      <c r="R2" s="49"/>
      <c r="S2" s="49"/>
      <c r="T2" s="49"/>
      <c r="U2" s="76"/>
      <c r="V2" s="43"/>
      <c r="W2" s="650"/>
      <c r="X2" s="650"/>
      <c r="Y2" s="651" t="s">
        <v>416</v>
      </c>
    </row>
    <row r="3" spans="1:25" ht="13.5" thickBot="1" x14ac:dyDescent="0.25">
      <c r="A3" s="77"/>
      <c r="B3" s="77"/>
      <c r="C3" s="43"/>
      <c r="D3" s="43"/>
      <c r="E3" s="43"/>
      <c r="F3" s="43"/>
      <c r="G3" s="43"/>
      <c r="H3" s="43"/>
      <c r="I3" s="43"/>
      <c r="J3" s="273"/>
      <c r="K3" s="273"/>
      <c r="L3" s="273"/>
      <c r="M3" s="27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650"/>
    </row>
    <row r="4" spans="1:25" ht="14.25" thickTop="1" thickBot="1" x14ac:dyDescent="0.25">
      <c r="A4" s="650"/>
      <c r="B4" s="78" t="s">
        <v>173</v>
      </c>
      <c r="C4" s="705" t="s">
        <v>174</v>
      </c>
      <c r="D4" s="706"/>
      <c r="E4" s="706"/>
      <c r="F4" s="706"/>
      <c r="G4" s="707"/>
      <c r="H4" s="650"/>
      <c r="I4" s="78" t="s">
        <v>173</v>
      </c>
      <c r="J4" s="705" t="s">
        <v>174</v>
      </c>
      <c r="K4" s="706"/>
      <c r="L4" s="706"/>
      <c r="M4" s="706"/>
      <c r="N4" s="707"/>
      <c r="O4" s="650"/>
      <c r="P4" s="43"/>
      <c r="Q4" s="43"/>
      <c r="R4" s="43"/>
      <c r="S4" s="43"/>
      <c r="T4" s="43"/>
      <c r="U4" s="43"/>
      <c r="V4" s="43"/>
      <c r="W4" s="43"/>
      <c r="X4" s="43"/>
      <c r="Y4" s="650"/>
    </row>
    <row r="5" spans="1:25" ht="14.25" thickTop="1" thickBot="1" x14ac:dyDescent="0.25">
      <c r="A5" s="650"/>
      <c r="B5" s="78">
        <v>11</v>
      </c>
      <c r="C5" s="298">
        <v>300</v>
      </c>
      <c r="D5" s="303">
        <v>400</v>
      </c>
      <c r="E5" s="304">
        <v>500</v>
      </c>
      <c r="F5" s="304">
        <v>600</v>
      </c>
      <c r="G5" s="301">
        <v>900</v>
      </c>
      <c r="H5" s="650"/>
      <c r="I5" s="78" t="s">
        <v>2</v>
      </c>
      <c r="J5" s="299">
        <v>300</v>
      </c>
      <c r="K5" s="299">
        <v>400</v>
      </c>
      <c r="L5" s="302">
        <v>500</v>
      </c>
      <c r="M5" s="302">
        <v>600</v>
      </c>
      <c r="N5" s="301">
        <v>900</v>
      </c>
      <c r="O5" s="650"/>
      <c r="P5" s="43"/>
      <c r="Q5" s="43"/>
      <c r="R5" s="43"/>
      <c r="S5" s="43"/>
      <c r="T5" s="43"/>
      <c r="U5" s="43"/>
      <c r="V5" s="43"/>
      <c r="W5" s="43"/>
      <c r="X5" s="43"/>
      <c r="Y5" s="650"/>
    </row>
    <row r="6" spans="1:25" ht="15.75" thickTop="1" x14ac:dyDescent="0.25">
      <c r="A6" s="650"/>
      <c r="B6" s="83">
        <v>400</v>
      </c>
      <c r="C6" s="306">
        <f>113.33*(KONSTPM)</f>
        <v>113.33</v>
      </c>
      <c r="D6" s="307">
        <f>118.84*(KONSTPM)</f>
        <v>118.84</v>
      </c>
      <c r="E6" s="307">
        <f>120.26*(KONSTPM)</f>
        <v>120.26</v>
      </c>
      <c r="F6" s="307">
        <f>133.65*(KONSTPM)</f>
        <v>133.65</v>
      </c>
      <c r="G6" s="313">
        <f>146.23*(KONSTPM)</f>
        <v>146.22999999999999</v>
      </c>
      <c r="H6" s="650"/>
      <c r="I6" s="83">
        <v>400</v>
      </c>
      <c r="J6" s="319">
        <f>132.17*(KONSTPM)</f>
        <v>132.16999999999999</v>
      </c>
      <c r="K6" s="307">
        <f>142.38*(KONSTPM)</f>
        <v>142.38</v>
      </c>
      <c r="L6" s="307">
        <f>160.04*(KONSTPM)</f>
        <v>160.04</v>
      </c>
      <c r="M6" s="307">
        <f>168.45*(KONSTPM)</f>
        <v>168.45</v>
      </c>
      <c r="N6" s="313">
        <f>220.25*(KONSTPM)</f>
        <v>220.25</v>
      </c>
      <c r="O6" s="650"/>
      <c r="P6" s="43"/>
      <c r="Q6" s="43"/>
      <c r="R6" s="43"/>
      <c r="S6" s="43"/>
      <c r="T6" s="43"/>
      <c r="U6" s="43"/>
      <c r="V6" s="43"/>
      <c r="W6" s="43"/>
      <c r="X6" s="43"/>
      <c r="Y6" s="650"/>
    </row>
    <row r="7" spans="1:25" ht="15" x14ac:dyDescent="0.25">
      <c r="A7" s="650"/>
      <c r="B7" s="84">
        <v>500</v>
      </c>
      <c r="C7" s="308">
        <f>117.48*(KONSTPM)</f>
        <v>117.48</v>
      </c>
      <c r="D7" s="309">
        <f>123.43*(KONSTPM)</f>
        <v>123.43</v>
      </c>
      <c r="E7" s="309">
        <f>126.87*(KONSTPM)</f>
        <v>126.87</v>
      </c>
      <c r="F7" s="309">
        <f>136.03*(KONSTPM)</f>
        <v>136.03</v>
      </c>
      <c r="G7" s="314">
        <f>157.29*(KONSTPM)</f>
        <v>157.29</v>
      </c>
      <c r="H7" s="650"/>
      <c r="I7" s="84">
        <v>500</v>
      </c>
      <c r="J7" s="320">
        <f>145.87*(KONSTPM)</f>
        <v>145.87</v>
      </c>
      <c r="K7" s="309">
        <f>155.12*(KONSTPM)</f>
        <v>155.12</v>
      </c>
      <c r="L7" s="309">
        <f>175.19*(KONSTPM)</f>
        <v>175.19</v>
      </c>
      <c r="M7" s="309">
        <f>184.44*(KONSTPM)</f>
        <v>184.44</v>
      </c>
      <c r="N7" s="314">
        <f>241.64*(KONSTPM)</f>
        <v>241.64</v>
      </c>
      <c r="O7" s="650"/>
      <c r="P7" s="43"/>
      <c r="Q7" s="43"/>
      <c r="R7" s="43"/>
      <c r="S7" s="43"/>
      <c r="T7" s="43"/>
      <c r="U7" s="43"/>
      <c r="V7" s="43"/>
      <c r="W7" s="43"/>
      <c r="X7" s="43"/>
      <c r="Y7" s="650"/>
    </row>
    <row r="8" spans="1:25" ht="15" x14ac:dyDescent="0.25">
      <c r="A8" s="650"/>
      <c r="B8" s="84">
        <v>600</v>
      </c>
      <c r="C8" s="308">
        <f>122.04*(KONSTPM)</f>
        <v>122.04</v>
      </c>
      <c r="D8" s="309">
        <f>129.36*(KONSTPM)</f>
        <v>129.36000000000001</v>
      </c>
      <c r="E8" s="309">
        <f>133.92*(KONSTPM)</f>
        <v>133.91999999999999</v>
      </c>
      <c r="F8" s="309">
        <f>143.36*(KONSTPM)</f>
        <v>143.36000000000001</v>
      </c>
      <c r="G8" s="314">
        <f>169.3*(KONSTPM)</f>
        <v>169.3</v>
      </c>
      <c r="H8" s="650"/>
      <c r="I8" s="84">
        <v>600</v>
      </c>
      <c r="J8" s="309">
        <f>157.29*(KONSTPM)</f>
        <v>157.29</v>
      </c>
      <c r="K8" s="309">
        <f>167.27*(KONSTPM)</f>
        <v>167.27</v>
      </c>
      <c r="L8" s="309">
        <f>190.09*(KONSTPM)</f>
        <v>190.09</v>
      </c>
      <c r="M8" s="309">
        <f>200.79*(KONSTPM)</f>
        <v>200.79</v>
      </c>
      <c r="N8" s="314">
        <f>263.75*(KONSTPM)</f>
        <v>263.75</v>
      </c>
      <c r="O8" s="650"/>
      <c r="P8" s="43"/>
      <c r="Q8" s="43"/>
      <c r="R8" s="43"/>
      <c r="S8" s="43"/>
      <c r="T8" s="43"/>
      <c r="U8" s="43"/>
      <c r="V8" s="43"/>
      <c r="W8" s="43"/>
      <c r="X8" s="43"/>
      <c r="Y8" s="650"/>
    </row>
    <row r="9" spans="1:25" ht="15.75" thickBot="1" x14ac:dyDescent="0.3">
      <c r="A9" s="650"/>
      <c r="B9" s="84">
        <v>700</v>
      </c>
      <c r="C9" s="308">
        <f>125.5*(KONSTPM)</f>
        <v>125.5</v>
      </c>
      <c r="D9" s="309">
        <f>134.77*(KONSTPM)</f>
        <v>134.77000000000001</v>
      </c>
      <c r="E9" s="309">
        <f>142.24*(KONSTPM)</f>
        <v>142.24</v>
      </c>
      <c r="F9" s="309">
        <f>150.8*(KONSTPM)</f>
        <v>150.80000000000001</v>
      </c>
      <c r="G9" s="314">
        <f>180.12*(KONSTPM)</f>
        <v>180.12</v>
      </c>
      <c r="H9" s="650"/>
      <c r="I9" s="84">
        <v>700</v>
      </c>
      <c r="J9" s="309">
        <f>168.22*(KONSTPM)</f>
        <v>168.22</v>
      </c>
      <c r="K9" s="309">
        <f>180.33*(KONSTPM)</f>
        <v>180.33</v>
      </c>
      <c r="L9" s="309">
        <f>205.47*(KONSTPM)</f>
        <v>205.47</v>
      </c>
      <c r="M9" s="309">
        <f>217.35*(KONSTPM)</f>
        <v>217.35</v>
      </c>
      <c r="N9" s="314">
        <f>292.46*(KONSTPM)</f>
        <v>292.45999999999998</v>
      </c>
      <c r="O9" s="650"/>
      <c r="P9" s="43"/>
      <c r="Q9" s="43"/>
      <c r="R9" s="43"/>
      <c r="S9" s="85"/>
      <c r="T9" s="650"/>
      <c r="U9" s="650"/>
      <c r="V9" s="85" t="s">
        <v>172</v>
      </c>
      <c r="W9" s="652">
        <v>0</v>
      </c>
      <c r="X9" s="43"/>
      <c r="Y9" s="650"/>
    </row>
    <row r="10" spans="1:25" ht="16.5" thickTop="1" thickBot="1" x14ac:dyDescent="0.3">
      <c r="A10" s="650"/>
      <c r="B10" s="84">
        <v>800</v>
      </c>
      <c r="C10" s="308">
        <f>129.36*(KONSTPM)</f>
        <v>129.36000000000001</v>
      </c>
      <c r="D10" s="309">
        <f>138.9*(KONSTPM)</f>
        <v>138.9</v>
      </c>
      <c r="E10" s="309">
        <f>147.89*(KONSTPM)</f>
        <v>147.88999999999999</v>
      </c>
      <c r="F10" s="309">
        <f>157.98*(KONSTPM)</f>
        <v>157.97999999999999</v>
      </c>
      <c r="G10" s="314">
        <f>190.81*(KONSTPM)</f>
        <v>190.81</v>
      </c>
      <c r="H10" s="650"/>
      <c r="I10" s="84">
        <v>800</v>
      </c>
      <c r="J10" s="309">
        <f>179.28*(KONSTPM)</f>
        <v>179.28</v>
      </c>
      <c r="K10" s="309">
        <f>192.86*(KONSTPM)</f>
        <v>192.86</v>
      </c>
      <c r="L10" s="309">
        <f>220.86*(KONSTPM)</f>
        <v>220.86</v>
      </c>
      <c r="M10" s="309">
        <f>234.31*(KONSTPM)</f>
        <v>234.31</v>
      </c>
      <c r="N10" s="314">
        <f>320.94*(KONSTPM)</f>
        <v>320.94</v>
      </c>
      <c r="O10" s="650"/>
      <c r="P10" s="392" t="s">
        <v>175</v>
      </c>
      <c r="Q10" s="146"/>
      <c r="R10" s="648"/>
      <c r="S10" s="87"/>
      <c r="T10" s="87"/>
      <c r="U10" s="87"/>
      <c r="V10" s="146"/>
      <c r="W10" s="162"/>
      <c r="X10" s="157"/>
      <c r="Y10" s="88" t="s">
        <v>170</v>
      </c>
    </row>
    <row r="11" spans="1:25" ht="15.75" thickTop="1" x14ac:dyDescent="0.25">
      <c r="A11" s="650"/>
      <c r="B11" s="84">
        <v>900</v>
      </c>
      <c r="C11" s="308">
        <f>134.89*(KONSTPM)</f>
        <v>134.88999999999999</v>
      </c>
      <c r="D11" s="309">
        <f>145.81*(KONSTPM)</f>
        <v>145.81</v>
      </c>
      <c r="E11" s="309">
        <f>155.63*(KONSTPM)</f>
        <v>155.63</v>
      </c>
      <c r="F11" s="309">
        <f>165.58*(KONSTPM)</f>
        <v>165.58</v>
      </c>
      <c r="G11" s="314">
        <f>201.14*(KONSTPM)</f>
        <v>201.14</v>
      </c>
      <c r="H11" s="650"/>
      <c r="I11" s="84">
        <v>900</v>
      </c>
      <c r="J11" s="309">
        <f>189.61*(KONSTPM)</f>
        <v>189.61</v>
      </c>
      <c r="K11" s="309">
        <f>205.11*(KONSTPM)</f>
        <v>205.11</v>
      </c>
      <c r="L11" s="309">
        <f>236.22*(KONSTPM)</f>
        <v>236.22</v>
      </c>
      <c r="M11" s="309">
        <f>251.25*(KONSTPM)</f>
        <v>251.25</v>
      </c>
      <c r="N11" s="314">
        <f>349.18*(KONSTPM)</f>
        <v>349.18</v>
      </c>
      <c r="O11" s="650"/>
      <c r="P11" s="89" t="s">
        <v>193</v>
      </c>
      <c r="Q11" s="144"/>
      <c r="R11" s="90"/>
      <c r="S11" s="90"/>
      <c r="T11" s="90"/>
      <c r="U11" s="90"/>
      <c r="V11" s="144"/>
      <c r="W11" s="163"/>
      <c r="X11" s="165"/>
      <c r="Y11" s="295">
        <f>9.14*(KONSTPM)</f>
        <v>9.14</v>
      </c>
    </row>
    <row r="12" spans="1:25" ht="15" x14ac:dyDescent="0.25">
      <c r="A12" s="650"/>
      <c r="B12" s="84">
        <v>1000</v>
      </c>
      <c r="C12" s="308">
        <f>138.9*(KONSTPM)</f>
        <v>138.9</v>
      </c>
      <c r="D12" s="309">
        <f>150.77*(KONSTPM)</f>
        <v>150.77000000000001</v>
      </c>
      <c r="E12" s="309">
        <f>164.34*(KONSTPM)</f>
        <v>164.34</v>
      </c>
      <c r="F12" s="309">
        <f>173.27*(KONSTPM)</f>
        <v>173.27</v>
      </c>
      <c r="G12" s="314">
        <f>215.07*(KONSTPM)</f>
        <v>215.07</v>
      </c>
      <c r="H12" s="650"/>
      <c r="I12" s="84">
        <v>1000</v>
      </c>
      <c r="J12" s="309">
        <f>199.69*(KONSTPM)</f>
        <v>199.69</v>
      </c>
      <c r="K12" s="309">
        <f>217.24*(KONSTPM)</f>
        <v>217.24</v>
      </c>
      <c r="L12" s="309">
        <f>251.36*(KONSTPM)</f>
        <v>251.36</v>
      </c>
      <c r="M12" s="309">
        <f>268.19*(KONSTPM)</f>
        <v>268.19</v>
      </c>
      <c r="N12" s="314">
        <f>377.43*(KONSTPM)</f>
        <v>377.43</v>
      </c>
      <c r="O12" s="650"/>
      <c r="P12" s="89" t="s">
        <v>194</v>
      </c>
      <c r="Q12" s="145"/>
      <c r="R12" s="90"/>
      <c r="S12" s="90"/>
      <c r="T12" s="90"/>
      <c r="U12" s="90"/>
      <c r="V12" s="145"/>
      <c r="W12" s="164"/>
      <c r="X12" s="91"/>
      <c r="Y12" s="296">
        <f>4.37*(KONSTPM)</f>
        <v>4.37</v>
      </c>
    </row>
    <row r="13" spans="1:25" ht="15" x14ac:dyDescent="0.25">
      <c r="A13" s="650"/>
      <c r="B13" s="84">
        <v>1100</v>
      </c>
      <c r="C13" s="308">
        <f>146.93*(KONSTPM)</f>
        <v>146.93</v>
      </c>
      <c r="D13" s="309">
        <f>159.76*(KONSTPM)</f>
        <v>159.76</v>
      </c>
      <c r="E13" s="309">
        <f>172.76*(KONSTPM)</f>
        <v>172.76</v>
      </c>
      <c r="F13" s="309">
        <f>182.28*(KONSTPM)</f>
        <v>182.28</v>
      </c>
      <c r="G13" s="314">
        <f>229.14*(KONSTPM)</f>
        <v>229.14</v>
      </c>
      <c r="H13" s="650"/>
      <c r="I13" s="84">
        <v>1100</v>
      </c>
      <c r="J13" s="309">
        <f>209.79*(KONSTPM)</f>
        <v>209.79</v>
      </c>
      <c r="K13" s="309">
        <f>230.69*(KONSTPM)</f>
        <v>230.69</v>
      </c>
      <c r="L13" s="309">
        <f>266.52*(KONSTPM)</f>
        <v>266.52</v>
      </c>
      <c r="M13" s="309">
        <f>285.13*(KONSTPM)</f>
        <v>285.13</v>
      </c>
      <c r="N13" s="314">
        <f>406.47*(KONSTPM)</f>
        <v>406.47</v>
      </c>
      <c r="O13" s="650"/>
      <c r="P13" s="92" t="s">
        <v>195</v>
      </c>
      <c r="Q13" s="145"/>
      <c r="R13" s="141"/>
      <c r="S13" s="90"/>
      <c r="T13" s="90"/>
      <c r="U13" s="90"/>
      <c r="V13" s="145"/>
      <c r="W13" s="164"/>
      <c r="X13" s="91"/>
      <c r="Y13" s="296">
        <f>30.33*(KONSTPM)</f>
        <v>30.33</v>
      </c>
    </row>
    <row r="14" spans="1:25" ht="15" x14ac:dyDescent="0.25">
      <c r="A14" s="650"/>
      <c r="B14" s="84">
        <v>1200</v>
      </c>
      <c r="C14" s="308">
        <f>152.46*(KONSTPM)</f>
        <v>152.46</v>
      </c>
      <c r="D14" s="309">
        <f>166.54*(KONSTPM)</f>
        <v>166.54</v>
      </c>
      <c r="E14" s="309">
        <f>180.9*(KONSTPM)</f>
        <v>180.9</v>
      </c>
      <c r="F14" s="309">
        <f>191.54*(KONSTPM)</f>
        <v>191.54</v>
      </c>
      <c r="G14" s="314">
        <f>243.07*(KONSTPM)</f>
        <v>243.07</v>
      </c>
      <c r="H14" s="650"/>
      <c r="I14" s="84">
        <v>1200</v>
      </c>
      <c r="J14" s="309">
        <f>219.75*(KONSTPM)</f>
        <v>219.75</v>
      </c>
      <c r="K14" s="309">
        <f>242.84*(KONSTPM)</f>
        <v>242.84</v>
      </c>
      <c r="L14" s="309">
        <f>281.77*(KONSTPM)</f>
        <v>281.77</v>
      </c>
      <c r="M14" s="309">
        <f>301.59*(KONSTPM)</f>
        <v>301.58999999999997</v>
      </c>
      <c r="N14" s="314">
        <f>434.11*(KONSTPM)</f>
        <v>434.11</v>
      </c>
      <c r="O14" s="650"/>
      <c r="P14" s="93" t="s">
        <v>196</v>
      </c>
      <c r="Q14" s="145"/>
      <c r="R14" s="142"/>
      <c r="S14" s="90"/>
      <c r="T14" s="90"/>
      <c r="U14" s="90"/>
      <c r="V14" s="145"/>
      <c r="W14" s="90"/>
      <c r="X14" s="101"/>
      <c r="Y14" s="296">
        <f>22.08*(KONSTPM)</f>
        <v>22.08</v>
      </c>
    </row>
    <row r="15" spans="1:25" ht="15" x14ac:dyDescent="0.25">
      <c r="A15" s="650"/>
      <c r="B15" s="84">
        <v>1400</v>
      </c>
      <c r="C15" s="308">
        <f>174.29*(KONSTPM)</f>
        <v>174.29</v>
      </c>
      <c r="D15" s="309">
        <f>190.74*(KONSTPM)</f>
        <v>190.74</v>
      </c>
      <c r="E15" s="309">
        <f>198.32*(KONSTPM)</f>
        <v>198.32</v>
      </c>
      <c r="F15" s="309">
        <f>210.14*(KONSTPM)</f>
        <v>210.14</v>
      </c>
      <c r="G15" s="314">
        <f>272.4*(KONSTPM)</f>
        <v>272.39999999999998</v>
      </c>
      <c r="H15" s="650"/>
      <c r="I15" s="84">
        <v>1400</v>
      </c>
      <c r="J15" s="309">
        <f>239.94*(KONSTPM)</f>
        <v>239.94</v>
      </c>
      <c r="K15" s="309">
        <f>267.57*(KONSTPM)</f>
        <v>267.57</v>
      </c>
      <c r="L15" s="309">
        <f>311.8*(KONSTPM)</f>
        <v>311.8</v>
      </c>
      <c r="M15" s="309">
        <f>335.35*(KONSTPM)</f>
        <v>335.35</v>
      </c>
      <c r="N15" s="314">
        <f>490.12*(KONSTPM)</f>
        <v>490.12</v>
      </c>
      <c r="O15" s="650"/>
      <c r="P15" s="93" t="s">
        <v>197</v>
      </c>
      <c r="Q15" s="145"/>
      <c r="R15" s="142"/>
      <c r="S15" s="90"/>
      <c r="T15" s="90"/>
      <c r="U15" s="90"/>
      <c r="V15" s="145"/>
      <c r="W15" s="90"/>
      <c r="X15" s="101"/>
      <c r="Y15" s="296">
        <f>1.86*(KONSTPM)</f>
        <v>1.86</v>
      </c>
    </row>
    <row r="16" spans="1:25" ht="15" x14ac:dyDescent="0.25">
      <c r="A16" s="650"/>
      <c r="B16" s="84">
        <v>1600</v>
      </c>
      <c r="C16" s="308">
        <f>184.92*(KONSTPM)</f>
        <v>184.92</v>
      </c>
      <c r="D16" s="309">
        <f>203.58*(KONSTPM)</f>
        <v>203.58</v>
      </c>
      <c r="E16" s="309">
        <f>215.76*(KONSTPM)</f>
        <v>215.76</v>
      </c>
      <c r="F16" s="309">
        <f>234.31*(KONSTPM)</f>
        <v>234.31</v>
      </c>
      <c r="G16" s="314">
        <f>300.75*(KONSTPM)</f>
        <v>300.75</v>
      </c>
      <c r="H16" s="650"/>
      <c r="I16" s="84">
        <v>1600</v>
      </c>
      <c r="J16" s="309">
        <f>260.6*(KONSTPM)</f>
        <v>260.60000000000002</v>
      </c>
      <c r="K16" s="309">
        <f>292.46*(KONSTPM)</f>
        <v>292.45999999999998</v>
      </c>
      <c r="L16" s="309">
        <f>343.05*(KONSTPM)</f>
        <v>343.05</v>
      </c>
      <c r="M16" s="309">
        <f>369.12*(KONSTPM)</f>
        <v>369.12</v>
      </c>
      <c r="N16" s="314">
        <f>546.7*(KONSTPM)</f>
        <v>546.70000000000005</v>
      </c>
      <c r="O16" s="650"/>
      <c r="P16" s="93" t="s">
        <v>198</v>
      </c>
      <c r="Q16" s="145"/>
      <c r="R16" s="142"/>
      <c r="S16" s="90"/>
      <c r="T16" s="90"/>
      <c r="U16" s="90"/>
      <c r="V16" s="145"/>
      <c r="W16" s="90"/>
      <c r="X16" s="101"/>
      <c r="Y16" s="296">
        <f>8.25*(KONSTPM)</f>
        <v>8.25</v>
      </c>
    </row>
    <row r="17" spans="1:25" ht="15" x14ac:dyDescent="0.25">
      <c r="A17" s="650"/>
      <c r="B17" s="84">
        <v>1800</v>
      </c>
      <c r="C17" s="308">
        <f>202.2*(KONSTPM)</f>
        <v>202.2</v>
      </c>
      <c r="D17" s="309">
        <f>222.52*(KONSTPM)</f>
        <v>222.52</v>
      </c>
      <c r="E17" s="309">
        <f>232.88*(KONSTPM)</f>
        <v>232.88</v>
      </c>
      <c r="F17" s="309">
        <f>257.85*(KONSTPM)</f>
        <v>257.85000000000002</v>
      </c>
      <c r="G17" s="314">
        <f>330.55*(KONSTPM)</f>
        <v>330.55</v>
      </c>
      <c r="H17" s="650"/>
      <c r="I17" s="84">
        <v>1800</v>
      </c>
      <c r="J17" s="309">
        <f>282.37*(KONSTPM)</f>
        <v>282.37</v>
      </c>
      <c r="K17" s="309">
        <f>318.03*(KONSTPM)</f>
        <v>318.02999999999997</v>
      </c>
      <c r="L17" s="309">
        <f>372.36*(KONSTPM)</f>
        <v>372.36</v>
      </c>
      <c r="M17" s="309">
        <f>402.75*(KONSTPM)</f>
        <v>402.75</v>
      </c>
      <c r="N17" s="314">
        <f>602.94*(KONSTPM)</f>
        <v>602.94000000000005</v>
      </c>
      <c r="O17" s="650"/>
      <c r="P17" s="166" t="s">
        <v>199</v>
      </c>
      <c r="Q17" s="167"/>
      <c r="R17" s="168"/>
      <c r="S17" s="169"/>
      <c r="T17" s="169"/>
      <c r="U17" s="169"/>
      <c r="V17" s="167"/>
      <c r="W17" s="170"/>
      <c r="X17" s="171"/>
      <c r="Y17" s="296">
        <f>9.14*(KONSTPM)</f>
        <v>9.14</v>
      </c>
    </row>
    <row r="18" spans="1:25" ht="15" x14ac:dyDescent="0.25">
      <c r="A18" s="650"/>
      <c r="B18" s="84">
        <v>2000</v>
      </c>
      <c r="C18" s="308">
        <f>212.69*(KONSTPM)</f>
        <v>212.69</v>
      </c>
      <c r="D18" s="309">
        <f>234.95*(KONSTPM)</f>
        <v>234.95</v>
      </c>
      <c r="E18" s="309">
        <f>251.13*(KONSTPM)</f>
        <v>251.13</v>
      </c>
      <c r="F18" s="309">
        <f>274.91*(KONSTPM)</f>
        <v>274.91000000000003</v>
      </c>
      <c r="G18" s="314">
        <f>358.9*(KONSTPM)</f>
        <v>358.9</v>
      </c>
      <c r="H18" s="650"/>
      <c r="I18" s="84">
        <v>2000</v>
      </c>
      <c r="J18" s="309">
        <f>301.71*(KONSTPM)</f>
        <v>301.70999999999998</v>
      </c>
      <c r="K18" s="309">
        <f>342.45*(KONSTPM)</f>
        <v>342.45</v>
      </c>
      <c r="L18" s="309">
        <f>403.47*(KONSTPM)</f>
        <v>403.47</v>
      </c>
      <c r="M18" s="309">
        <f>436.28*(KONSTPM)</f>
        <v>436.28</v>
      </c>
      <c r="N18" s="314">
        <f>660.85*(KONSTPM)</f>
        <v>660.85</v>
      </c>
      <c r="O18" s="650"/>
      <c r="P18" s="397" t="s">
        <v>200</v>
      </c>
      <c r="Q18" s="145"/>
      <c r="R18" s="145"/>
      <c r="S18" s="145"/>
      <c r="T18" s="145"/>
      <c r="U18" s="145"/>
      <c r="V18" s="145"/>
      <c r="W18" s="145"/>
      <c r="X18" s="203"/>
      <c r="Y18" s="296">
        <f>15.44*(KONSTPM)</f>
        <v>15.44</v>
      </c>
    </row>
    <row r="19" spans="1:25" ht="15" x14ac:dyDescent="0.25">
      <c r="A19" s="650"/>
      <c r="B19" s="84">
        <v>2300</v>
      </c>
      <c r="C19" s="308">
        <f>231.92*(KONSTPM)</f>
        <v>231.92</v>
      </c>
      <c r="D19" s="309">
        <f>257.74*(KONSTPM)</f>
        <v>257.74</v>
      </c>
      <c r="E19" s="309">
        <f>276.95*(KONSTPM)</f>
        <v>276.95</v>
      </c>
      <c r="F19" s="309">
        <f>303.76*(KONSTPM)</f>
        <v>303.76</v>
      </c>
      <c r="G19" s="314">
        <f>394.23*(KONSTPM)</f>
        <v>394.23</v>
      </c>
      <c r="H19" s="650"/>
      <c r="I19" s="84">
        <v>2300</v>
      </c>
      <c r="J19" s="309">
        <f>332.94*(KONSTPM)</f>
        <v>332.94</v>
      </c>
      <c r="K19" s="309">
        <f>380.3*(KONSTPM)</f>
        <v>380.3</v>
      </c>
      <c r="L19" s="309">
        <f>445.77*(KONSTPM)</f>
        <v>445.77</v>
      </c>
      <c r="M19" s="309">
        <f>487.35*(KONSTPM)</f>
        <v>487.35</v>
      </c>
      <c r="N19" s="314">
        <f>739.44*(KONSTPM)</f>
        <v>739.44</v>
      </c>
      <c r="O19" s="650"/>
      <c r="P19" s="397" t="s">
        <v>394</v>
      </c>
      <c r="Q19" s="145"/>
      <c r="R19" s="145"/>
      <c r="S19" s="145"/>
      <c r="T19" s="145"/>
      <c r="U19" s="145"/>
      <c r="V19" s="145"/>
      <c r="W19" s="145"/>
      <c r="X19" s="145"/>
      <c r="Y19" s="563">
        <f>2.26*(KONSTPM)</f>
        <v>2.2599999999999998</v>
      </c>
    </row>
    <row r="20" spans="1:25" ht="15" x14ac:dyDescent="0.25">
      <c r="A20" s="650"/>
      <c r="B20" s="84">
        <v>2600</v>
      </c>
      <c r="C20" s="308">
        <f>248.36*(KONSTPM)</f>
        <v>248.36</v>
      </c>
      <c r="D20" s="309">
        <f>280.69*(KONSTPM)</f>
        <v>280.69</v>
      </c>
      <c r="E20" s="309">
        <f>303.24*(KONSTPM)</f>
        <v>303.24</v>
      </c>
      <c r="F20" s="309">
        <f>338.23*(KONSTPM)</f>
        <v>338.23</v>
      </c>
      <c r="G20" s="314">
        <f>432.92*(KONSTPM)</f>
        <v>432.92</v>
      </c>
      <c r="H20" s="650"/>
      <c r="I20" s="84">
        <v>2600</v>
      </c>
      <c r="J20" s="309">
        <f>368.87*(KONSTPM)</f>
        <v>368.87</v>
      </c>
      <c r="K20" s="309">
        <f>417.89*(KONSTPM)</f>
        <v>417.89</v>
      </c>
      <c r="L20" s="309">
        <f>494.44*(KONSTPM)</f>
        <v>494.44</v>
      </c>
      <c r="M20" s="309">
        <f>537.33*(KONSTPM)</f>
        <v>537.33000000000004</v>
      </c>
      <c r="N20" s="314">
        <f>816.82*(KONSTPM)</f>
        <v>816.82</v>
      </c>
      <c r="O20" s="650"/>
      <c r="P20" s="562" t="s">
        <v>201</v>
      </c>
      <c r="Q20" s="145"/>
      <c r="R20" s="145"/>
      <c r="S20" s="145"/>
      <c r="T20" s="145"/>
      <c r="U20" s="145"/>
      <c r="V20" s="145"/>
      <c r="W20" s="145"/>
      <c r="X20" s="203"/>
      <c r="Y20" s="296">
        <f>35.59*(KONSTPM)</f>
        <v>35.590000000000003</v>
      </c>
    </row>
    <row r="21" spans="1:25" ht="15.75" thickBot="1" x14ac:dyDescent="0.3">
      <c r="A21" s="650"/>
      <c r="B21" s="86">
        <v>3000</v>
      </c>
      <c r="C21" s="310">
        <f>278.78*(KONSTPM)</f>
        <v>278.77999999999997</v>
      </c>
      <c r="D21" s="311">
        <f>312.34*(KONSTPM)</f>
        <v>312.33999999999997</v>
      </c>
      <c r="E21" s="311">
        <f>338.47*(KONSTPM)</f>
        <v>338.47</v>
      </c>
      <c r="F21" s="311">
        <f>372.71*(KONSTPM)</f>
        <v>372.71</v>
      </c>
      <c r="G21" s="315">
        <f>484.96*(KONSTPM)</f>
        <v>484.96</v>
      </c>
      <c r="H21" s="650"/>
      <c r="I21" s="86">
        <v>3000</v>
      </c>
      <c r="J21" s="311">
        <f>404.81*(KONSTPM)</f>
        <v>404.81</v>
      </c>
      <c r="K21" s="311">
        <f>468.11*(KONSTPM)</f>
        <v>468.11</v>
      </c>
      <c r="L21" s="311">
        <f>555.24*(KONSTPM)</f>
        <v>555.24</v>
      </c>
      <c r="M21" s="311">
        <f>604.49*(KONSTPM)</f>
        <v>604.49</v>
      </c>
      <c r="N21" s="315">
        <f>920.63*(KONSTPM)</f>
        <v>920.63</v>
      </c>
      <c r="O21" s="650"/>
      <c r="P21" s="172" t="s">
        <v>202</v>
      </c>
      <c r="Q21" s="147"/>
      <c r="R21" s="173"/>
      <c r="S21" s="174"/>
      <c r="T21" s="174"/>
      <c r="U21" s="174"/>
      <c r="V21" s="147"/>
      <c r="W21" s="175"/>
      <c r="X21" s="176"/>
      <c r="Y21" s="561">
        <f>5.42*(KONSTPM)</f>
        <v>5.42</v>
      </c>
    </row>
    <row r="22" spans="1:25" ht="5.25" customHeight="1" thickTop="1" x14ac:dyDescent="0.2">
      <c r="A22" s="201"/>
      <c r="B22" s="665">
        <f>1-W9</f>
        <v>1</v>
      </c>
      <c r="C22" s="149"/>
      <c r="D22" s="149"/>
      <c r="E22" s="149"/>
      <c r="F22" s="149"/>
      <c r="G22" s="149"/>
      <c r="H22" s="650"/>
      <c r="I22" s="650"/>
      <c r="J22" s="266"/>
      <c r="K22" s="266"/>
      <c r="L22" s="266"/>
      <c r="M22" s="266"/>
      <c r="N22" s="149"/>
      <c r="O22" s="650"/>
      <c r="P22" s="150"/>
      <c r="Q22" s="151"/>
      <c r="R22" s="150"/>
      <c r="S22" s="152"/>
      <c r="T22" s="152"/>
      <c r="U22" s="152"/>
      <c r="V22" s="151"/>
      <c r="W22" s="153"/>
      <c r="X22" s="153"/>
      <c r="Y22" s="650"/>
    </row>
    <row r="23" spans="1:25" ht="3.75" customHeight="1" thickBot="1" x14ac:dyDescent="0.25">
      <c r="A23" s="4">
        <f>(1-W9)</f>
        <v>1</v>
      </c>
      <c r="B23" s="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660"/>
      <c r="P23" s="661"/>
      <c r="Q23" s="650"/>
      <c r="R23" s="650"/>
      <c r="S23" s="650"/>
      <c r="T23" s="650"/>
      <c r="U23" s="650"/>
      <c r="V23" s="650"/>
      <c r="W23" s="650"/>
      <c r="X23" s="650"/>
      <c r="Y23" s="650"/>
    </row>
    <row r="24" spans="1:25" ht="14.25" thickTop="1" thickBot="1" x14ac:dyDescent="0.25">
      <c r="B24" s="78" t="s">
        <v>173</v>
      </c>
      <c r="C24" s="705" t="s">
        <v>174</v>
      </c>
      <c r="D24" s="706"/>
      <c r="E24" s="706"/>
      <c r="F24" s="706"/>
      <c r="G24" s="707"/>
      <c r="H24" s="43"/>
      <c r="I24" s="78" t="s">
        <v>173</v>
      </c>
      <c r="J24" s="705" t="s">
        <v>174</v>
      </c>
      <c r="K24" s="706"/>
      <c r="L24" s="706"/>
      <c r="M24" s="706"/>
      <c r="N24" s="707"/>
      <c r="O24" s="571"/>
      <c r="P24" s="662"/>
      <c r="Q24" s="650"/>
      <c r="R24" s="650"/>
      <c r="S24" s="650"/>
      <c r="T24" s="650"/>
      <c r="U24" s="650"/>
      <c r="V24" s="650"/>
      <c r="W24" s="664"/>
      <c r="X24" s="650"/>
      <c r="Y24" s="650"/>
    </row>
    <row r="25" spans="1:25" ht="14.25" thickTop="1" thickBot="1" x14ac:dyDescent="0.25">
      <c r="B25" s="78">
        <v>22</v>
      </c>
      <c r="C25" s="303">
        <v>300</v>
      </c>
      <c r="D25" s="303">
        <v>400</v>
      </c>
      <c r="E25" s="304">
        <v>500</v>
      </c>
      <c r="F25" s="304">
        <v>600</v>
      </c>
      <c r="G25" s="301">
        <v>900</v>
      </c>
      <c r="H25" s="43"/>
      <c r="I25" s="78">
        <v>33</v>
      </c>
      <c r="J25" s="299">
        <v>300</v>
      </c>
      <c r="K25" s="299">
        <v>400</v>
      </c>
      <c r="L25" s="302">
        <v>500</v>
      </c>
      <c r="M25" s="302">
        <v>600</v>
      </c>
      <c r="N25" s="301">
        <v>900</v>
      </c>
      <c r="O25" s="571"/>
      <c r="P25" s="622"/>
      <c r="Q25" s="650"/>
      <c r="R25" s="650"/>
      <c r="S25" s="650"/>
      <c r="T25" s="650"/>
      <c r="U25" s="650"/>
      <c r="V25" s="650"/>
      <c r="W25" s="650"/>
      <c r="X25" s="650"/>
      <c r="Y25" s="650"/>
    </row>
    <row r="26" spans="1:25" ht="15.75" thickTop="1" x14ac:dyDescent="0.25">
      <c r="B26" s="83">
        <v>400</v>
      </c>
      <c r="C26" s="319">
        <f>138.54*(KONSTPM)</f>
        <v>138.54</v>
      </c>
      <c r="D26" s="307">
        <f>149.59*(KONSTPM)</f>
        <v>149.59</v>
      </c>
      <c r="E26" s="307">
        <f>168.09*(KONSTPM)</f>
        <v>168.09</v>
      </c>
      <c r="F26" s="307">
        <f>177.47*(KONSTPM)</f>
        <v>177.47</v>
      </c>
      <c r="G26" s="313">
        <f>232.39*(KONSTPM)</f>
        <v>232.39</v>
      </c>
      <c r="H26" s="43"/>
      <c r="I26" s="83">
        <v>400</v>
      </c>
      <c r="J26" s="307">
        <f>237.32*(KONSTPM)</f>
        <v>237.32</v>
      </c>
      <c r="K26" s="307">
        <f>247.04*(KONSTPM)</f>
        <v>247.04</v>
      </c>
      <c r="L26" s="307">
        <f>277.18*(KONSTPM)</f>
        <v>277.18</v>
      </c>
      <c r="M26" s="307">
        <f>291.99*(KONSTPM)</f>
        <v>291.99</v>
      </c>
      <c r="N26" s="313">
        <f>303.62*(KONSTPM)</f>
        <v>303.62</v>
      </c>
      <c r="O26" s="663"/>
      <c r="P26" s="266"/>
      <c r="Q26" s="650"/>
      <c r="R26" s="650"/>
      <c r="S26" s="650"/>
      <c r="T26" s="650"/>
      <c r="U26" s="650"/>
      <c r="V26" s="650"/>
      <c r="W26" s="650"/>
      <c r="X26" s="650"/>
      <c r="Y26" s="650"/>
    </row>
    <row r="27" spans="1:25" ht="15" x14ac:dyDescent="0.25">
      <c r="B27" s="84">
        <v>500</v>
      </c>
      <c r="C27" s="320">
        <f>152.96*(KONSTPM)</f>
        <v>152.96</v>
      </c>
      <c r="D27" s="309">
        <f>162.81*(KONSTPM)</f>
        <v>162.81</v>
      </c>
      <c r="E27" s="309">
        <f>184.21*(KONSTPM)</f>
        <v>184.21</v>
      </c>
      <c r="F27" s="309">
        <f>194.05*(KONSTPM)</f>
        <v>194.05</v>
      </c>
      <c r="G27" s="314">
        <f>255.81*(KONSTPM)</f>
        <v>255.81</v>
      </c>
      <c r="H27" s="43"/>
      <c r="I27" s="84">
        <v>500</v>
      </c>
      <c r="J27" s="309">
        <f>249.91*(KONSTPM)</f>
        <v>249.91</v>
      </c>
      <c r="K27" s="309">
        <f>261.45*(KONSTPM)</f>
        <v>261.45</v>
      </c>
      <c r="L27" s="309">
        <f>295.47*(KONSTPM)</f>
        <v>295.47000000000003</v>
      </c>
      <c r="M27" s="309">
        <f>311.09*(KONSTPM)</f>
        <v>311.08999999999997</v>
      </c>
      <c r="N27" s="314">
        <f>337.51*(KONSTPM)</f>
        <v>337.51</v>
      </c>
      <c r="O27" s="149"/>
      <c r="P27" s="266"/>
      <c r="Q27" s="650"/>
      <c r="R27" s="650"/>
      <c r="S27" s="650"/>
      <c r="T27" s="650"/>
      <c r="U27" s="650"/>
      <c r="V27" s="650"/>
      <c r="W27" s="650"/>
      <c r="X27" s="650"/>
      <c r="Y27" s="650"/>
    </row>
    <row r="28" spans="1:25" ht="15" x14ac:dyDescent="0.25">
      <c r="B28" s="84">
        <v>600</v>
      </c>
      <c r="C28" s="309">
        <f>165.94*(KONSTPM)</f>
        <v>165.94</v>
      </c>
      <c r="D28" s="309">
        <f>176.39*(KONSTPM)</f>
        <v>176.39</v>
      </c>
      <c r="E28" s="309">
        <f>200.18*(KONSTPM)</f>
        <v>200.18</v>
      </c>
      <c r="F28" s="309">
        <f>211.71*(KONSTPM)</f>
        <v>211.71</v>
      </c>
      <c r="G28" s="314">
        <f>279.13*(KONSTPM)</f>
        <v>279.13</v>
      </c>
      <c r="H28" s="43"/>
      <c r="I28" s="84">
        <v>600</v>
      </c>
      <c r="J28" s="309">
        <f>263.16*(KONSTPM)</f>
        <v>263.16000000000003</v>
      </c>
      <c r="K28" s="309">
        <f>277.18*(KONSTPM)</f>
        <v>277.18</v>
      </c>
      <c r="L28" s="309">
        <f>315.16*(KONSTPM)</f>
        <v>315.16000000000003</v>
      </c>
      <c r="M28" s="309">
        <f>332.45*(KONSTPM)</f>
        <v>332.45</v>
      </c>
      <c r="N28" s="314">
        <f>375.61*(KONSTPM)</f>
        <v>375.61</v>
      </c>
      <c r="O28" s="149"/>
      <c r="P28" s="413"/>
      <c r="Q28" s="650"/>
      <c r="R28" s="650"/>
      <c r="S28" s="650"/>
      <c r="T28" s="650"/>
      <c r="U28" s="650"/>
      <c r="V28" s="650"/>
      <c r="W28" s="650"/>
      <c r="X28" s="650"/>
      <c r="Y28" s="650"/>
    </row>
    <row r="29" spans="1:25" ht="15" x14ac:dyDescent="0.25">
      <c r="B29" s="84">
        <v>700</v>
      </c>
      <c r="C29" s="309">
        <f>176.88*(KONSTPM)</f>
        <v>176.88</v>
      </c>
      <c r="D29" s="309">
        <f>189.73*(KONSTPM)</f>
        <v>189.73</v>
      </c>
      <c r="E29" s="309">
        <f>216.38*(KONSTPM)</f>
        <v>216.38</v>
      </c>
      <c r="F29" s="309">
        <f>229.14*(KONSTPM)</f>
        <v>229.14</v>
      </c>
      <c r="G29" s="314">
        <f>310*(KONSTPM)</f>
        <v>310</v>
      </c>
      <c r="H29" s="43"/>
      <c r="I29" s="84">
        <v>700</v>
      </c>
      <c r="J29" s="309">
        <f>277.56*(KONSTPM)</f>
        <v>277.56</v>
      </c>
      <c r="K29" s="309">
        <f>294.02*(KONSTPM)</f>
        <v>294.02</v>
      </c>
      <c r="L29" s="309">
        <f>335.48*(KONSTPM)</f>
        <v>335.48</v>
      </c>
      <c r="M29" s="309">
        <f>355.29*(KONSTPM)</f>
        <v>355.29</v>
      </c>
      <c r="N29" s="314">
        <f>419.09*(KONSTPM)</f>
        <v>419.09</v>
      </c>
      <c r="O29" s="149"/>
      <c r="P29" s="413"/>
      <c r="Q29" s="650"/>
      <c r="R29" s="650"/>
      <c r="S29" s="650"/>
      <c r="T29" s="650"/>
      <c r="U29" s="650"/>
      <c r="V29" s="650"/>
      <c r="W29" s="650"/>
      <c r="X29" s="650"/>
      <c r="Y29" s="650"/>
    </row>
    <row r="30" spans="1:25" ht="15" x14ac:dyDescent="0.25">
      <c r="B30" s="84">
        <v>800</v>
      </c>
      <c r="C30" s="309">
        <f>188.3*(KONSTPM)</f>
        <v>188.3</v>
      </c>
      <c r="D30" s="309">
        <f>202.69*(KONSTPM)</f>
        <v>202.69</v>
      </c>
      <c r="E30" s="309">
        <f>233.1*(KONSTPM)</f>
        <v>233.1</v>
      </c>
      <c r="F30" s="309">
        <f>247.89*(KONSTPM)</f>
        <v>247.89</v>
      </c>
      <c r="G30" s="314">
        <f>339.55*(KONSTPM)</f>
        <v>339.55</v>
      </c>
      <c r="H30" s="43"/>
      <c r="I30" s="84">
        <v>800</v>
      </c>
      <c r="J30" s="309">
        <f>293.3*(KONSTPM)</f>
        <v>293.3</v>
      </c>
      <c r="K30" s="309">
        <f>311.55*(KONSTPM)</f>
        <v>311.55</v>
      </c>
      <c r="L30" s="309">
        <f>357.22*(KONSTPM)</f>
        <v>357.22</v>
      </c>
      <c r="M30" s="309">
        <f>379.8*(KONSTPM)</f>
        <v>379.8</v>
      </c>
      <c r="N30" s="314">
        <f>467.76*(KONSTPM)</f>
        <v>467.76</v>
      </c>
      <c r="O30" s="149"/>
      <c r="P30" s="413"/>
      <c r="Q30" s="650"/>
      <c r="R30" s="650"/>
      <c r="S30" s="650"/>
      <c r="T30" s="650"/>
      <c r="U30" s="650"/>
      <c r="V30" s="650"/>
      <c r="W30" s="650"/>
      <c r="X30" s="650"/>
      <c r="Y30" s="650"/>
    </row>
    <row r="31" spans="1:25" ht="15" x14ac:dyDescent="0.25">
      <c r="B31" s="84">
        <v>900</v>
      </c>
      <c r="C31" s="309">
        <f>199.23*(KONSTPM)</f>
        <v>199.23</v>
      </c>
      <c r="D31" s="309">
        <f>215.93*(KONSTPM)</f>
        <v>215.93</v>
      </c>
      <c r="E31" s="309">
        <f>249.21*(KONSTPM)</f>
        <v>249.21</v>
      </c>
      <c r="F31" s="309">
        <f>265.67*(KONSTPM)</f>
        <v>265.67</v>
      </c>
      <c r="G31" s="314">
        <f>370.43*(KONSTPM)</f>
        <v>370.43</v>
      </c>
      <c r="H31" s="43"/>
      <c r="I31" s="84">
        <v>900</v>
      </c>
      <c r="J31" s="309">
        <f>308.31*(KONSTPM)</f>
        <v>308.31</v>
      </c>
      <c r="K31" s="309">
        <f>330.55*(KONSTPM)</f>
        <v>330.55</v>
      </c>
      <c r="L31" s="309">
        <f>381.38*(KONSTPM)</f>
        <v>381.38</v>
      </c>
      <c r="M31" s="309">
        <f>405.65*(KONSTPM)</f>
        <v>405.65</v>
      </c>
      <c r="N31" s="314">
        <f>496.71*(KONSTPM)</f>
        <v>496.71</v>
      </c>
      <c r="O31" s="149"/>
      <c r="P31" s="413"/>
      <c r="Q31" s="650"/>
      <c r="R31" s="650"/>
      <c r="S31" s="650"/>
      <c r="T31" s="650"/>
      <c r="U31" s="650"/>
      <c r="V31" s="650"/>
      <c r="W31" s="650"/>
      <c r="X31" s="650"/>
      <c r="Y31" s="650"/>
    </row>
    <row r="32" spans="1:25" ht="15" x14ac:dyDescent="0.25">
      <c r="B32" s="84">
        <v>1000</v>
      </c>
      <c r="C32" s="309">
        <f>210.38*(KONSTPM)</f>
        <v>210.38</v>
      </c>
      <c r="D32" s="309">
        <f>229.01*(KONSTPM)</f>
        <v>229.01</v>
      </c>
      <c r="E32" s="309">
        <f>265.3*(KONSTPM)</f>
        <v>265.3</v>
      </c>
      <c r="F32" s="309">
        <f>283.92*(KONSTPM)</f>
        <v>283.92</v>
      </c>
      <c r="G32" s="314">
        <f>400.6*(KONSTPM)</f>
        <v>400.6</v>
      </c>
      <c r="H32" s="43"/>
      <c r="I32" s="84">
        <v>1000</v>
      </c>
      <c r="J32" s="309">
        <f>323.35*(KONSTPM)</f>
        <v>323.35000000000002</v>
      </c>
      <c r="K32" s="309">
        <f>349.29*(KONSTPM)</f>
        <v>349.29</v>
      </c>
      <c r="L32" s="309">
        <f>404.57*(KONSTPM)</f>
        <v>404.57</v>
      </c>
      <c r="M32" s="309">
        <f>431.6*(KONSTPM)</f>
        <v>431.6</v>
      </c>
      <c r="N32" s="314">
        <f>528.82*(KONSTPM)</f>
        <v>528.82000000000005</v>
      </c>
      <c r="O32" s="149"/>
      <c r="P32" s="413"/>
      <c r="Q32" s="650"/>
      <c r="R32" s="650"/>
      <c r="S32" s="650"/>
      <c r="T32" s="650"/>
      <c r="U32" s="650"/>
      <c r="V32" s="650"/>
      <c r="W32" s="650"/>
      <c r="X32" s="650"/>
      <c r="Y32" s="650"/>
    </row>
    <row r="33" spans="1:25" ht="15" x14ac:dyDescent="0.25">
      <c r="B33" s="84">
        <v>1100</v>
      </c>
      <c r="C33" s="309">
        <f>221.21*(KONSTPM)</f>
        <v>221.21</v>
      </c>
      <c r="D33" s="309">
        <f>242.84*(KONSTPM)</f>
        <v>242.84</v>
      </c>
      <c r="E33" s="309">
        <f>281.41*(KONSTPM)</f>
        <v>281.41000000000003</v>
      </c>
      <c r="F33" s="309">
        <f>301.35*(KONSTPM)</f>
        <v>301.35000000000002</v>
      </c>
      <c r="G33" s="314">
        <f>430.65*(KONSTPM)</f>
        <v>430.65</v>
      </c>
      <c r="H33" s="43"/>
      <c r="I33" s="84">
        <v>1100</v>
      </c>
      <c r="J33" s="309">
        <f>339.32*(KONSTPM)</f>
        <v>339.32</v>
      </c>
      <c r="K33" s="309">
        <f>368.74*(KONSTPM)</f>
        <v>368.74</v>
      </c>
      <c r="L33" s="309">
        <f>428.11*(KONSTPM)</f>
        <v>428.11</v>
      </c>
      <c r="M33" s="309">
        <f>457.66*(KONSTPM)</f>
        <v>457.66</v>
      </c>
      <c r="N33" s="314">
        <f>562.8*(KONSTPM)</f>
        <v>562.79999999999995</v>
      </c>
      <c r="O33" s="149"/>
      <c r="P33" s="413"/>
      <c r="Q33" s="650"/>
      <c r="R33" s="650"/>
      <c r="S33" s="650"/>
      <c r="T33" s="650"/>
      <c r="U33" s="650"/>
      <c r="V33" s="650"/>
      <c r="W33" s="650"/>
      <c r="X33" s="650"/>
      <c r="Y33" s="650"/>
    </row>
    <row r="34" spans="1:25" ht="15" x14ac:dyDescent="0.25">
      <c r="B34" s="84">
        <v>1200</v>
      </c>
      <c r="C34" s="309">
        <f>231.8*(KONSTPM)</f>
        <v>231.8</v>
      </c>
      <c r="D34" s="309">
        <f>256.18*(KONSTPM)</f>
        <v>256.18</v>
      </c>
      <c r="E34" s="309">
        <f>297.62*(KONSTPM)</f>
        <v>297.62</v>
      </c>
      <c r="F34" s="309">
        <f>319.84*(KONSTPM)</f>
        <v>319.83999999999997</v>
      </c>
      <c r="G34" s="314">
        <f>461.39*(KONSTPM)</f>
        <v>461.39</v>
      </c>
      <c r="H34" s="43"/>
      <c r="I34" s="84">
        <v>1200</v>
      </c>
      <c r="J34" s="309">
        <f>354.81*(KONSTPM)</f>
        <v>354.81</v>
      </c>
      <c r="K34" s="309">
        <f>388.46*(KONSTPM)</f>
        <v>388.46</v>
      </c>
      <c r="L34" s="309">
        <f>451.79*(KONSTPM)</f>
        <v>451.79</v>
      </c>
      <c r="M34" s="309">
        <f>483.6*(KONSTPM)</f>
        <v>483.6</v>
      </c>
      <c r="N34" s="314">
        <f>599.09*(KONSTPM)</f>
        <v>599.09</v>
      </c>
      <c r="O34" s="149"/>
      <c r="P34" s="413"/>
      <c r="Q34" s="650"/>
      <c r="R34" s="650"/>
      <c r="S34" s="650"/>
      <c r="T34" s="650"/>
      <c r="U34" s="650"/>
      <c r="V34" s="650"/>
      <c r="W34" s="650"/>
      <c r="X34" s="650"/>
      <c r="Y34" s="650"/>
    </row>
    <row r="35" spans="1:25" ht="15" x14ac:dyDescent="0.25">
      <c r="B35" s="84">
        <v>1400</v>
      </c>
      <c r="C35" s="309">
        <f>253.77*(KONSTPM)</f>
        <v>253.77</v>
      </c>
      <c r="D35" s="309">
        <f>282.96*(KONSTPM)</f>
        <v>282.95999999999998</v>
      </c>
      <c r="E35" s="309">
        <f>330.43*(KONSTPM)</f>
        <v>330.43</v>
      </c>
      <c r="F35" s="309">
        <f>356.25*(KONSTPM)</f>
        <v>356.25</v>
      </c>
      <c r="G35" s="314">
        <f>521.95*(KONSTPM)</f>
        <v>521.95000000000005</v>
      </c>
      <c r="H35" s="43"/>
      <c r="I35" s="84">
        <v>1400</v>
      </c>
      <c r="J35" s="309">
        <f>386.06*(KONSTPM)</f>
        <v>386.06</v>
      </c>
      <c r="K35" s="309">
        <f>426.32*(KONSTPM)</f>
        <v>426.32</v>
      </c>
      <c r="L35" s="309">
        <f>498.16*(KONSTPM)</f>
        <v>498.16</v>
      </c>
      <c r="M35" s="309">
        <f>535.3*(KONSTPM)</f>
        <v>535.29999999999995</v>
      </c>
      <c r="N35" s="314">
        <f>662.89*(KONSTPM)</f>
        <v>662.89</v>
      </c>
      <c r="O35" s="149"/>
      <c r="P35" s="413"/>
      <c r="Q35" s="650"/>
      <c r="R35" s="650"/>
      <c r="S35" s="650"/>
      <c r="T35" s="650"/>
      <c r="U35" s="650"/>
      <c r="V35" s="650"/>
      <c r="W35" s="650"/>
      <c r="X35" s="650"/>
      <c r="Y35" s="650"/>
    </row>
    <row r="36" spans="1:25" ht="15" x14ac:dyDescent="0.25">
      <c r="B36" s="84">
        <v>1600</v>
      </c>
      <c r="C36" s="309">
        <f>275.75*(KONSTPM)</f>
        <v>275.75</v>
      </c>
      <c r="D36" s="309">
        <f>309.51*(KONSTPM)</f>
        <v>309.51</v>
      </c>
      <c r="E36" s="309">
        <f>362.99*(KONSTPM)</f>
        <v>362.99</v>
      </c>
      <c r="F36" s="309">
        <f>392.05*(KONSTPM)</f>
        <v>392.05</v>
      </c>
      <c r="G36" s="314">
        <f>582.5*(KONSTPM)</f>
        <v>582.5</v>
      </c>
      <c r="H36" s="43"/>
      <c r="I36" s="84">
        <v>1600</v>
      </c>
      <c r="J36" s="309">
        <f>417.06*(KONSTPM)</f>
        <v>417.06</v>
      </c>
      <c r="K36" s="309">
        <f>464.28*(KONSTPM)</f>
        <v>464.28</v>
      </c>
      <c r="L36" s="309">
        <f>545.27*(KONSTPM)</f>
        <v>545.27</v>
      </c>
      <c r="M36" s="309">
        <f>587.82*(KONSTPM)</f>
        <v>587.82000000000005</v>
      </c>
      <c r="N36" s="314">
        <f>724.77*(KONSTPM)</f>
        <v>724.77</v>
      </c>
      <c r="O36" s="149"/>
      <c r="P36" s="413"/>
      <c r="Q36" s="650"/>
      <c r="R36" s="650"/>
      <c r="S36" s="650"/>
      <c r="T36" s="650"/>
      <c r="U36" s="650"/>
      <c r="V36" s="650"/>
      <c r="W36" s="650"/>
      <c r="X36" s="650"/>
      <c r="Y36" s="650"/>
    </row>
    <row r="37" spans="1:25" ht="15" x14ac:dyDescent="0.25">
      <c r="B37" s="84">
        <v>1800</v>
      </c>
      <c r="C37" s="309">
        <f>298.23*(KONSTPM)</f>
        <v>298.23</v>
      </c>
      <c r="D37" s="309">
        <f>335.96*(KONSTPM)</f>
        <v>335.96</v>
      </c>
      <c r="E37" s="309">
        <f>395.78*(KONSTPM)</f>
        <v>395.78</v>
      </c>
      <c r="F37" s="309">
        <f>428.38*(KONSTPM)</f>
        <v>428.38</v>
      </c>
      <c r="G37" s="314">
        <f>642.95*(KONSTPM)</f>
        <v>642.95000000000005</v>
      </c>
      <c r="H37" s="43"/>
      <c r="I37" s="84">
        <v>1800</v>
      </c>
      <c r="J37" s="309">
        <f>438.68*(KONSTPM)</f>
        <v>438.68</v>
      </c>
      <c r="K37" s="309">
        <f>502.85*(KONSTPM)</f>
        <v>502.85</v>
      </c>
      <c r="L37" s="309">
        <f>591.76*(KONSTPM)</f>
        <v>591.76</v>
      </c>
      <c r="M37" s="309">
        <f>639.47*(KONSTPM)</f>
        <v>639.47</v>
      </c>
      <c r="N37" s="314">
        <f>792.53*(KONSTPM)</f>
        <v>792.53</v>
      </c>
      <c r="O37" s="149"/>
      <c r="P37" s="413"/>
      <c r="Q37" s="650"/>
      <c r="R37" s="650"/>
      <c r="S37" s="650"/>
      <c r="T37" s="650"/>
      <c r="U37" s="650"/>
      <c r="V37" s="650"/>
      <c r="W37" s="650"/>
      <c r="X37" s="650"/>
      <c r="Y37" s="650"/>
    </row>
    <row r="38" spans="1:25" ht="15" x14ac:dyDescent="0.25">
      <c r="B38" s="84">
        <v>2000</v>
      </c>
      <c r="C38" s="309">
        <f>320.1*(KONSTPM)</f>
        <v>320.10000000000002</v>
      </c>
      <c r="D38" s="309">
        <f>363.46*(KONSTPM)</f>
        <v>363.46</v>
      </c>
      <c r="E38" s="309">
        <f>428.38*(KONSTPM)</f>
        <v>428.38</v>
      </c>
      <c r="F38" s="309">
        <f>464.39*(KONSTPM)</f>
        <v>464.39</v>
      </c>
      <c r="G38" s="314">
        <f>704.36*(KONSTPM)</f>
        <v>704.36</v>
      </c>
      <c r="H38" s="43"/>
      <c r="I38" s="84">
        <v>2000</v>
      </c>
      <c r="J38" s="309">
        <f>478.94*(KONSTPM)</f>
        <v>478.94</v>
      </c>
      <c r="K38" s="309">
        <f>540.93*(KONSTPM)</f>
        <v>540.92999999999995</v>
      </c>
      <c r="L38" s="309">
        <f>638.37*(KONSTPM)</f>
        <v>638.37</v>
      </c>
      <c r="M38" s="309">
        <f>692.23*(KONSTPM)</f>
        <v>692.23</v>
      </c>
      <c r="N38" s="314">
        <f>852.74*(KONSTPM)</f>
        <v>852.74</v>
      </c>
      <c r="O38" s="149"/>
      <c r="P38" s="413"/>
      <c r="Q38" s="650"/>
      <c r="R38" s="650"/>
      <c r="S38" s="650"/>
      <c r="T38" s="650"/>
      <c r="U38" s="650"/>
      <c r="V38" s="650"/>
      <c r="W38" s="650"/>
      <c r="X38" s="650"/>
      <c r="Y38" s="650"/>
    </row>
    <row r="39" spans="1:25" ht="15" x14ac:dyDescent="0.25">
      <c r="B39" s="84">
        <v>2300</v>
      </c>
      <c r="C39" s="309">
        <f>353.13*(KONSTPM)</f>
        <v>353.13</v>
      </c>
      <c r="D39" s="309">
        <f>403.37*(KONSTPM)</f>
        <v>403.37</v>
      </c>
      <c r="E39" s="309">
        <f>477.63*(KONSTPM)</f>
        <v>477.63</v>
      </c>
      <c r="F39" s="309">
        <f>519.06*(KONSTPM)</f>
        <v>519.05999999999995</v>
      </c>
      <c r="G39" s="314">
        <f>789.78*(KONSTPM)</f>
        <v>789.78</v>
      </c>
      <c r="H39" s="43"/>
      <c r="I39" s="84">
        <v>2300</v>
      </c>
      <c r="J39" s="309">
        <f>525.68*(KONSTPM)</f>
        <v>525.67999999999995</v>
      </c>
      <c r="K39" s="309">
        <f>598.74*(KONSTPM)</f>
        <v>598.74</v>
      </c>
      <c r="L39" s="309">
        <f>709.29*(KONSTPM)</f>
        <v>709.29</v>
      </c>
      <c r="M39" s="309">
        <f>769.97*(KONSTPM)</f>
        <v>769.97</v>
      </c>
      <c r="N39" s="314">
        <f>916.91*(KONSTPM)</f>
        <v>916.91</v>
      </c>
      <c r="O39" s="149"/>
      <c r="P39" s="413"/>
      <c r="Q39" s="650"/>
      <c r="R39" s="40" t="s">
        <v>184</v>
      </c>
      <c r="S39" s="650"/>
      <c r="T39" s="650"/>
      <c r="U39" s="650"/>
      <c r="V39" s="650"/>
      <c r="W39" s="650"/>
      <c r="X39" s="650"/>
      <c r="Y39" s="650"/>
    </row>
    <row r="40" spans="1:25" ht="15" x14ac:dyDescent="0.25">
      <c r="B40" s="84">
        <v>2600</v>
      </c>
      <c r="C40" s="309">
        <f>386.06*(KONSTPM)</f>
        <v>386.06</v>
      </c>
      <c r="D40" s="309">
        <f>443.73*(KONSTPM)</f>
        <v>443.73</v>
      </c>
      <c r="E40" s="309">
        <f>526.64*(KONSTPM)</f>
        <v>526.64</v>
      </c>
      <c r="F40" s="309">
        <f>573.39*(KONSTPM)</f>
        <v>573.39</v>
      </c>
      <c r="G40" s="314">
        <f>871.97*(KONSTPM)</f>
        <v>871.97</v>
      </c>
      <c r="H40" s="43"/>
      <c r="I40" s="84">
        <v>2600</v>
      </c>
      <c r="J40" s="309">
        <f>572.29*(KONSTPM)</f>
        <v>572.29</v>
      </c>
      <c r="K40" s="309">
        <f>655.7*(KONSTPM)</f>
        <v>655.7</v>
      </c>
      <c r="L40" s="309">
        <f>779.44*(KONSTPM)</f>
        <v>779.44</v>
      </c>
      <c r="M40" s="309">
        <f>848.65*(KONSTPM)</f>
        <v>848.65</v>
      </c>
      <c r="N40" s="314">
        <f>1010.73*(KONSTPM)</f>
        <v>1010.73</v>
      </c>
      <c r="O40" s="149"/>
      <c r="P40" s="413"/>
      <c r="Q40" s="650"/>
      <c r="R40" s="650"/>
      <c r="S40" s="650"/>
      <c r="T40" s="650"/>
      <c r="U40" s="650"/>
      <c r="V40" s="650"/>
      <c r="W40" s="650"/>
      <c r="X40" s="650"/>
      <c r="Y40" s="650"/>
    </row>
    <row r="41" spans="1:25" ht="15.75" thickBot="1" x14ac:dyDescent="0.3">
      <c r="B41" s="86">
        <v>3000</v>
      </c>
      <c r="C41" s="311">
        <f>430.14*(KONSTPM)</f>
        <v>430.14</v>
      </c>
      <c r="D41" s="311">
        <f>497.43*(KONSTPM)</f>
        <v>497.43</v>
      </c>
      <c r="E41" s="311">
        <f>591.76*(KONSTPM)</f>
        <v>591.76</v>
      </c>
      <c r="F41" s="311">
        <f>645.46*(KONSTPM)</f>
        <v>645.46</v>
      </c>
      <c r="G41" s="315">
        <f>983.83*(KONSTPM)</f>
        <v>983.83</v>
      </c>
      <c r="H41" s="43"/>
      <c r="I41" s="86">
        <v>3000</v>
      </c>
      <c r="J41" s="311">
        <f>620.47*(KONSTPM)</f>
        <v>620.47</v>
      </c>
      <c r="K41" s="311">
        <f>717.44*(KONSTPM)</f>
        <v>717.44</v>
      </c>
      <c r="L41" s="311">
        <f>856.35*(KONSTPM)</f>
        <v>856.35</v>
      </c>
      <c r="M41" s="311">
        <f>934.69*(KONSTPM)</f>
        <v>934.69</v>
      </c>
      <c r="N41" s="315">
        <f>1114.67*(KONSTPM)</f>
        <v>1114.67</v>
      </c>
      <c r="O41" s="149"/>
      <c r="P41" s="413"/>
      <c r="Q41" s="650"/>
      <c r="R41" s="650"/>
      <c r="S41" s="650"/>
      <c r="T41" s="650"/>
      <c r="U41" s="650"/>
      <c r="V41" s="650"/>
      <c r="W41" s="650"/>
      <c r="X41" s="650"/>
      <c r="Y41" s="650"/>
    </row>
    <row r="42" spans="1:25" ht="13.5" thickTop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393" t="s">
        <v>185</v>
      </c>
      <c r="K42" s="273"/>
      <c r="L42" s="273"/>
      <c r="M42" s="27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650"/>
    </row>
    <row r="43" spans="1:25" x14ac:dyDescent="0.2">
      <c r="A43" s="650"/>
      <c r="B43" s="40"/>
      <c r="C43" s="43"/>
      <c r="D43" s="43"/>
      <c r="E43" s="43"/>
      <c r="F43" s="43"/>
      <c r="G43" s="43"/>
      <c r="H43" s="43"/>
      <c r="I43" s="394" t="s">
        <v>186</v>
      </c>
      <c r="J43" s="393" t="s">
        <v>190</v>
      </c>
      <c r="K43" s="273"/>
      <c r="L43" s="273"/>
      <c r="M43" s="27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650"/>
    </row>
    <row r="44" spans="1:25" x14ac:dyDescent="0.2">
      <c r="A44" s="43"/>
      <c r="B44" s="43"/>
      <c r="C44" s="43"/>
      <c r="D44" s="43"/>
      <c r="E44" s="43"/>
      <c r="F44" s="43"/>
      <c r="G44" s="43"/>
      <c r="H44" s="43"/>
      <c r="I44" s="395" t="s">
        <v>187</v>
      </c>
      <c r="J44" s="393" t="s">
        <v>191</v>
      </c>
      <c r="K44" s="273"/>
      <c r="L44" s="273"/>
      <c r="M44" s="27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650"/>
    </row>
    <row r="45" spans="1:25" x14ac:dyDescent="0.2">
      <c r="A45" s="43"/>
      <c r="B45" s="43"/>
      <c r="C45" s="43"/>
      <c r="D45" s="43"/>
      <c r="E45" s="43"/>
      <c r="F45" s="43"/>
      <c r="G45" s="43"/>
      <c r="H45" s="43"/>
      <c r="I45" s="394" t="s">
        <v>188</v>
      </c>
      <c r="J45" s="393" t="s">
        <v>190</v>
      </c>
      <c r="K45" s="273"/>
      <c r="L45" s="273"/>
      <c r="M45" s="27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650"/>
    </row>
  </sheetData>
  <mergeCells count="5">
    <mergeCell ref="H1:N1"/>
    <mergeCell ref="J4:N4"/>
    <mergeCell ref="C24:G24"/>
    <mergeCell ref="J24:N24"/>
    <mergeCell ref="C4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zoomScale="115" zoomScaleNormal="115" workbookViewId="0">
      <selection activeCell="C5" sqref="C5"/>
    </sheetView>
  </sheetViews>
  <sheetFormatPr defaultRowHeight="12.75" x14ac:dyDescent="0.2"/>
  <cols>
    <col min="3" max="3" width="10.5703125" bestFit="1" customWidth="1"/>
    <col min="11" max="29" width="9.140625" style="2" customWidth="1"/>
  </cols>
  <sheetData>
    <row r="1" spans="1:19" ht="19.5" x14ac:dyDescent="0.25">
      <c r="A1" s="44"/>
      <c r="B1" s="44"/>
      <c r="C1" s="44"/>
      <c r="D1" s="45"/>
      <c r="E1" s="46" t="s">
        <v>3</v>
      </c>
      <c r="F1" s="44"/>
      <c r="G1" s="47"/>
      <c r="H1" s="46"/>
      <c r="I1" s="46"/>
      <c r="J1" s="10"/>
    </row>
    <row r="2" spans="1:19" ht="15" x14ac:dyDescent="0.2">
      <c r="A2" s="48" t="s">
        <v>171</v>
      </c>
      <c r="B2" s="49"/>
      <c r="C2" s="49"/>
      <c r="D2" s="715" t="s">
        <v>416</v>
      </c>
      <c r="E2" s="716"/>
      <c r="F2" s="49"/>
      <c r="G2" s="49"/>
      <c r="J2" s="10"/>
    </row>
    <row r="3" spans="1:19" x14ac:dyDescent="0.2">
      <c r="A3" s="49"/>
      <c r="B3" s="49"/>
      <c r="C3" s="49"/>
      <c r="D3" s="50"/>
      <c r="E3" s="50"/>
      <c r="F3" s="49"/>
      <c r="G3" s="49"/>
      <c r="H3" s="51"/>
      <c r="I3" s="52"/>
      <c r="J3" s="10"/>
    </row>
    <row r="4" spans="1:19" x14ac:dyDescent="0.2">
      <c r="A4" s="49"/>
      <c r="B4" s="49"/>
      <c r="C4" s="49"/>
      <c r="D4" s="50"/>
      <c r="E4" s="50"/>
      <c r="F4" s="49"/>
      <c r="G4" s="49"/>
      <c r="H4" s="51"/>
      <c r="I4" s="52"/>
      <c r="J4" s="10"/>
    </row>
    <row r="5" spans="1:19" x14ac:dyDescent="0.2">
      <c r="A5" s="10"/>
      <c r="B5" s="53" t="s">
        <v>172</v>
      </c>
      <c r="C5" s="654">
        <v>0</v>
      </c>
      <c r="D5" s="106"/>
      <c r="E5" s="50"/>
      <c r="F5" s="10"/>
      <c r="G5" s="10"/>
      <c r="H5" s="51"/>
      <c r="I5" s="52"/>
      <c r="J5" s="10"/>
    </row>
    <row r="6" spans="1:19" ht="13.5" thickBot="1" x14ac:dyDescent="0.25">
      <c r="A6" s="54"/>
      <c r="B6" s="49"/>
      <c r="C6" s="49"/>
      <c r="D6" s="49"/>
      <c r="E6" s="49"/>
      <c r="F6" s="49"/>
      <c r="G6" s="49"/>
      <c r="H6" s="49"/>
      <c r="I6" s="49"/>
      <c r="J6" s="10"/>
    </row>
    <row r="7" spans="1:19" x14ac:dyDescent="0.2">
      <c r="A7" s="713" t="s">
        <v>4</v>
      </c>
      <c r="B7" s="55"/>
      <c r="C7" s="56" t="s">
        <v>174</v>
      </c>
      <c r="D7" s="57"/>
      <c r="E7" s="3"/>
      <c r="F7" s="713" t="s">
        <v>5</v>
      </c>
      <c r="G7" s="55"/>
      <c r="H7" s="56" t="s">
        <v>174</v>
      </c>
      <c r="I7" s="57"/>
      <c r="J7" s="10"/>
    </row>
    <row r="8" spans="1:19" ht="13.5" thickBot="1" x14ac:dyDescent="0.25">
      <c r="A8" s="714"/>
      <c r="B8" s="58">
        <v>142</v>
      </c>
      <c r="C8" s="59">
        <v>214</v>
      </c>
      <c r="D8" s="60">
        <v>286</v>
      </c>
      <c r="E8" s="61"/>
      <c r="F8" s="714"/>
      <c r="G8" s="58">
        <v>142</v>
      </c>
      <c r="H8" s="59">
        <v>214</v>
      </c>
      <c r="I8" s="60">
        <v>286</v>
      </c>
      <c r="J8" s="10"/>
    </row>
    <row r="9" spans="1:19" ht="15" x14ac:dyDescent="0.25">
      <c r="A9" s="63">
        <v>600</v>
      </c>
      <c r="B9" s="334">
        <f>161.13*(KONSTK)</f>
        <v>161.13</v>
      </c>
      <c r="C9" s="335">
        <f>196.64*(KONSTK)</f>
        <v>196.64</v>
      </c>
      <c r="D9" s="336">
        <f>229.33*(KONSTK)</f>
        <v>229.33</v>
      </c>
      <c r="E9" s="62"/>
      <c r="F9" s="64">
        <v>600</v>
      </c>
      <c r="G9" s="334">
        <f>175.83*(KONSTK)</f>
        <v>175.83</v>
      </c>
      <c r="H9" s="335">
        <f>210.68*(KONSTK)</f>
        <v>210.68</v>
      </c>
      <c r="I9" s="336">
        <f>246.03*(KONSTK)</f>
        <v>246.03</v>
      </c>
      <c r="J9" s="10"/>
      <c r="K9" s="653"/>
      <c r="L9" s="653"/>
      <c r="M9" s="653"/>
      <c r="N9" s="653"/>
      <c r="O9" s="653"/>
      <c r="P9" s="653"/>
      <c r="Q9" s="653"/>
      <c r="R9" s="653"/>
      <c r="S9" s="653"/>
    </row>
    <row r="10" spans="1:19" ht="15" x14ac:dyDescent="0.25">
      <c r="A10" s="63">
        <v>800</v>
      </c>
      <c r="B10" s="337">
        <f>171.96*(KONSTK)</f>
        <v>171.96</v>
      </c>
      <c r="C10" s="309">
        <f>206.53*(KONSTK)</f>
        <v>206.53</v>
      </c>
      <c r="D10" s="338">
        <f>241.87*(KONSTK)</f>
        <v>241.87</v>
      </c>
      <c r="E10" s="62"/>
      <c r="F10" s="64">
        <v>800</v>
      </c>
      <c r="G10" s="337">
        <f>188.09*(KONSTK)</f>
        <v>188.09</v>
      </c>
      <c r="H10" s="309">
        <f>225.74*(KONSTK)</f>
        <v>225.74</v>
      </c>
      <c r="I10" s="338">
        <f>264.6*(KONSTK)</f>
        <v>264.60000000000002</v>
      </c>
      <c r="J10" s="10"/>
      <c r="K10" s="653"/>
      <c r="L10" s="653"/>
      <c r="M10" s="653"/>
      <c r="N10" s="653"/>
      <c r="O10" s="653"/>
      <c r="P10" s="653"/>
      <c r="Q10" s="653"/>
      <c r="R10" s="653"/>
      <c r="S10" s="653"/>
    </row>
    <row r="11" spans="1:19" ht="15" x14ac:dyDescent="0.25">
      <c r="A11" s="63">
        <v>1000</v>
      </c>
      <c r="B11" s="337">
        <f>185.09*(KONSTK)</f>
        <v>185.09</v>
      </c>
      <c r="C11" s="309">
        <f>224.67*(KONSTK)</f>
        <v>224.67</v>
      </c>
      <c r="D11" s="338">
        <f>265.19*(KONSTK)</f>
        <v>265.19</v>
      </c>
      <c r="E11" s="62"/>
      <c r="F11" s="64">
        <v>1000</v>
      </c>
      <c r="G11" s="337">
        <f>204.65*(KONSTK)</f>
        <v>204.65</v>
      </c>
      <c r="H11" s="309">
        <f>247.75*(KONSTK)</f>
        <v>247.75</v>
      </c>
      <c r="I11" s="338">
        <f>292.51*(KONSTK)</f>
        <v>292.51</v>
      </c>
      <c r="J11" s="10"/>
      <c r="K11" s="653"/>
      <c r="L11" s="653"/>
      <c r="M11" s="653"/>
      <c r="N11" s="653"/>
      <c r="O11" s="653"/>
      <c r="P11" s="653"/>
      <c r="Q11" s="653"/>
      <c r="R11" s="653"/>
      <c r="S11" s="653"/>
    </row>
    <row r="12" spans="1:19" ht="15" x14ac:dyDescent="0.25">
      <c r="A12" s="63">
        <v>1200</v>
      </c>
      <c r="B12" s="337">
        <f>199.35*(KONSTK)</f>
        <v>199.35</v>
      </c>
      <c r="C12" s="309">
        <f>240.66*(KONSTK)</f>
        <v>240.66</v>
      </c>
      <c r="D12" s="338">
        <f>282.67*(KONSTK)</f>
        <v>282.67</v>
      </c>
      <c r="E12" s="62"/>
      <c r="F12" s="64">
        <v>1200</v>
      </c>
      <c r="G12" s="337">
        <f>221.94*(KONSTK)</f>
        <v>221.94</v>
      </c>
      <c r="H12" s="309">
        <f>267.33*(KONSTK)</f>
        <v>267.33</v>
      </c>
      <c r="I12" s="338">
        <f>314.87*(KONSTK)</f>
        <v>314.87</v>
      </c>
      <c r="J12" s="10"/>
      <c r="K12" s="653"/>
      <c r="L12" s="653"/>
      <c r="M12" s="653"/>
      <c r="N12" s="653"/>
      <c r="O12" s="653"/>
      <c r="P12" s="653"/>
      <c r="Q12" s="653"/>
      <c r="R12" s="653"/>
      <c r="S12" s="653"/>
    </row>
    <row r="13" spans="1:19" ht="15" x14ac:dyDescent="0.25">
      <c r="A13" s="63">
        <v>1400</v>
      </c>
      <c r="B13" s="337">
        <f>218.49*(KONSTK)</f>
        <v>218.49</v>
      </c>
      <c r="C13" s="309">
        <f>265.19*(KONSTK)</f>
        <v>265.19</v>
      </c>
      <c r="D13" s="338">
        <f>313.08*(KONSTK)</f>
        <v>313.08</v>
      </c>
      <c r="E13" s="62"/>
      <c r="F13" s="64">
        <v>1400</v>
      </c>
      <c r="G13" s="337">
        <f>244.24*(KONSTK)</f>
        <v>244.24</v>
      </c>
      <c r="H13" s="309">
        <f>296.01*(KONSTK)</f>
        <v>296.01</v>
      </c>
      <c r="I13" s="338">
        <f>349.65*(KONSTK)</f>
        <v>349.65</v>
      </c>
      <c r="J13" s="10"/>
      <c r="K13" s="653"/>
      <c r="L13" s="653"/>
      <c r="M13" s="653"/>
      <c r="N13" s="653"/>
      <c r="O13" s="653"/>
      <c r="P13" s="653"/>
      <c r="Q13" s="653"/>
      <c r="R13" s="653"/>
      <c r="S13" s="653"/>
    </row>
    <row r="14" spans="1:19" ht="15" x14ac:dyDescent="0.25">
      <c r="A14" s="63">
        <v>1600</v>
      </c>
      <c r="B14" s="337">
        <f>230.33*(KONSTK)</f>
        <v>230.33</v>
      </c>
      <c r="C14" s="309">
        <f>280.67*(KONSTK)</f>
        <v>280.67</v>
      </c>
      <c r="D14" s="338">
        <f>332.37*(KONSTK)</f>
        <v>332.37</v>
      </c>
      <c r="E14" s="62"/>
      <c r="F14" s="64">
        <v>1600</v>
      </c>
      <c r="G14" s="337">
        <f>259.08*(KONSTK)</f>
        <v>259.08</v>
      </c>
      <c r="H14" s="309">
        <f>314.87*(KONSTK)</f>
        <v>314.87</v>
      </c>
      <c r="I14" s="338">
        <f>373.31*(KONSTK)</f>
        <v>373.31</v>
      </c>
      <c r="J14" s="10"/>
      <c r="K14" s="653"/>
      <c r="L14" s="653"/>
      <c r="M14" s="653"/>
      <c r="N14" s="653"/>
      <c r="O14" s="653"/>
      <c r="P14" s="653"/>
      <c r="Q14" s="653"/>
      <c r="R14" s="653"/>
      <c r="S14" s="653"/>
    </row>
    <row r="15" spans="1:19" ht="15" x14ac:dyDescent="0.25">
      <c r="A15" s="63">
        <v>1800</v>
      </c>
      <c r="B15" s="337">
        <f>242.23*(KONSTK)</f>
        <v>242.23</v>
      </c>
      <c r="C15" s="309">
        <f>296.3*(KONSTK)</f>
        <v>296.3</v>
      </c>
      <c r="D15" s="338">
        <f>351.74*(KONSTK)</f>
        <v>351.74</v>
      </c>
      <c r="E15" s="62"/>
      <c r="F15" s="64">
        <v>1800</v>
      </c>
      <c r="G15" s="337">
        <f>274.36*(KONSTK)</f>
        <v>274.36</v>
      </c>
      <c r="H15" s="309">
        <f>334.59*(KONSTK)</f>
        <v>334.59</v>
      </c>
      <c r="I15" s="338">
        <f>397.7*(KONSTK)</f>
        <v>397.7</v>
      </c>
      <c r="J15" s="10"/>
      <c r="K15" s="653"/>
      <c r="L15" s="653"/>
      <c r="M15" s="653"/>
      <c r="N15" s="653"/>
      <c r="O15" s="653"/>
      <c r="P15" s="653"/>
      <c r="Q15" s="653"/>
      <c r="R15" s="653"/>
      <c r="S15" s="653"/>
    </row>
    <row r="16" spans="1:19" ht="15" x14ac:dyDescent="0.25">
      <c r="A16" s="63">
        <v>2000</v>
      </c>
      <c r="B16" s="337">
        <f>247.89*(KONSTK)</f>
        <v>247.89</v>
      </c>
      <c r="C16" s="309">
        <f>302.4*(KONSTK)</f>
        <v>302.39999999999998</v>
      </c>
      <c r="D16" s="338">
        <f>358.34*(KONSTK)</f>
        <v>358.34</v>
      </c>
      <c r="E16" s="62"/>
      <c r="F16" s="64">
        <v>2000</v>
      </c>
      <c r="G16" s="337">
        <f>283.4*(KONSTK)</f>
        <v>283.39999999999998</v>
      </c>
      <c r="H16" s="309">
        <f>344.42*(KONSTK)</f>
        <v>344.42</v>
      </c>
      <c r="I16" s="338">
        <f>408.74*(KONSTK)</f>
        <v>408.74</v>
      </c>
      <c r="J16" s="10"/>
      <c r="K16" s="653"/>
      <c r="L16" s="653"/>
      <c r="M16" s="653"/>
      <c r="N16" s="653"/>
      <c r="O16" s="653"/>
      <c r="P16" s="653"/>
      <c r="Q16" s="653"/>
      <c r="R16" s="653"/>
      <c r="S16" s="653"/>
    </row>
    <row r="17" spans="1:19" ht="15" x14ac:dyDescent="0.25">
      <c r="A17" s="63">
        <v>2300</v>
      </c>
      <c r="B17" s="337">
        <f>283.4*(KONSTK)</f>
        <v>283.39999999999998</v>
      </c>
      <c r="C17" s="309">
        <f>346.43*(KONSTK)</f>
        <v>346.43</v>
      </c>
      <c r="D17" s="338">
        <f>411.68*(KONSTK)</f>
        <v>411.68</v>
      </c>
      <c r="E17" s="62"/>
      <c r="F17" s="64">
        <v>2300</v>
      </c>
      <c r="G17" s="337">
        <f>322.62*(KONSTK)</f>
        <v>322.62</v>
      </c>
      <c r="H17" s="309">
        <f>393.25*(KONSTK)</f>
        <v>393.25</v>
      </c>
      <c r="I17" s="338">
        <f>467.98*(KONSTK)</f>
        <v>467.98</v>
      </c>
      <c r="J17" s="10"/>
      <c r="K17" s="653"/>
      <c r="L17" s="653"/>
      <c r="M17" s="653"/>
      <c r="N17" s="653"/>
      <c r="O17" s="653"/>
      <c r="P17" s="653"/>
      <c r="Q17" s="653"/>
      <c r="R17" s="653"/>
      <c r="S17" s="653"/>
    </row>
    <row r="18" spans="1:19" ht="15" x14ac:dyDescent="0.25">
      <c r="A18" s="63">
        <v>2600</v>
      </c>
      <c r="B18" s="337">
        <f>299.53*(KONSTK)</f>
        <v>299.52999999999997</v>
      </c>
      <c r="C18" s="309">
        <f>368.23*(KONSTK)</f>
        <v>368.23</v>
      </c>
      <c r="D18" s="338">
        <f>438.79*(KONSTK)</f>
        <v>438.79</v>
      </c>
      <c r="E18" s="62"/>
      <c r="F18" s="64">
        <v>2600</v>
      </c>
      <c r="G18" s="337">
        <f>345.78*(KONSTK)</f>
        <v>345.78</v>
      </c>
      <c r="H18" s="309">
        <f>422.73*(KONSTK)</f>
        <v>422.73</v>
      </c>
      <c r="I18" s="338">
        <f>504.19*(KONSTK)</f>
        <v>504.19</v>
      </c>
      <c r="J18" s="10"/>
      <c r="K18" s="653"/>
      <c r="L18" s="653"/>
      <c r="M18" s="653"/>
      <c r="N18" s="653"/>
      <c r="O18" s="653"/>
      <c r="P18" s="653"/>
      <c r="Q18" s="653"/>
      <c r="R18" s="653"/>
      <c r="S18" s="653"/>
    </row>
    <row r="19" spans="1:19" ht="15.75" thickBot="1" x14ac:dyDescent="0.3">
      <c r="A19" s="65">
        <v>3000</v>
      </c>
      <c r="B19" s="339">
        <f>313.51*(KONSTK)</f>
        <v>313.51</v>
      </c>
      <c r="C19" s="340">
        <f>384.5*(KONSTK)</f>
        <v>384.5</v>
      </c>
      <c r="D19" s="341">
        <f>458.08*(KONSTK)</f>
        <v>458.08</v>
      </c>
      <c r="E19" s="62"/>
      <c r="F19" s="66">
        <v>3000</v>
      </c>
      <c r="G19" s="339">
        <f>366.79*(KONSTK)</f>
        <v>366.79</v>
      </c>
      <c r="H19" s="340">
        <f>447.38*(KONSTK)</f>
        <v>447.38</v>
      </c>
      <c r="I19" s="341">
        <f>533.08*(KONSTK)</f>
        <v>533.08000000000004</v>
      </c>
      <c r="J19" s="10"/>
      <c r="K19" s="653"/>
      <c r="L19" s="653"/>
      <c r="M19" s="653"/>
      <c r="N19" s="653"/>
      <c r="O19" s="653"/>
      <c r="P19" s="653"/>
      <c r="Q19" s="653"/>
      <c r="R19" s="653"/>
      <c r="S19" s="653"/>
    </row>
    <row r="20" spans="1:19" ht="15.75" thickBot="1" x14ac:dyDescent="0.3">
      <c r="A20" s="67">
        <f>(1-C5)</f>
        <v>1</v>
      </c>
      <c r="B20" s="68"/>
      <c r="C20" s="69"/>
      <c r="D20" s="69"/>
      <c r="E20" s="70"/>
      <c r="F20" s="71"/>
      <c r="G20" s="71"/>
      <c r="H20" s="72"/>
      <c r="I20" s="275"/>
      <c r="J20" s="10"/>
      <c r="K20" s="653"/>
      <c r="L20" s="653"/>
      <c r="M20" s="653"/>
      <c r="N20" s="653"/>
      <c r="O20" s="653"/>
      <c r="P20" s="653"/>
      <c r="Q20" s="653"/>
      <c r="R20" s="653"/>
      <c r="S20" s="653"/>
    </row>
    <row r="21" spans="1:19" x14ac:dyDescent="0.2">
      <c r="A21" s="713" t="s">
        <v>6</v>
      </c>
      <c r="B21" s="55"/>
      <c r="C21" s="56" t="s">
        <v>174</v>
      </c>
      <c r="D21" s="57"/>
      <c r="E21" s="73"/>
      <c r="F21" s="713" t="s">
        <v>7</v>
      </c>
      <c r="G21" s="55"/>
      <c r="H21" s="56" t="s">
        <v>174</v>
      </c>
      <c r="I21" s="57"/>
      <c r="J21" s="10"/>
      <c r="K21" s="653"/>
      <c r="L21" s="653"/>
      <c r="M21" s="653"/>
      <c r="N21" s="653"/>
      <c r="O21" s="653"/>
      <c r="P21" s="653"/>
      <c r="Q21" s="653"/>
      <c r="R21" s="653"/>
      <c r="S21" s="653"/>
    </row>
    <row r="22" spans="1:19" ht="13.5" thickBot="1" x14ac:dyDescent="0.25">
      <c r="A22" s="714"/>
      <c r="B22" s="58">
        <v>142</v>
      </c>
      <c r="C22" s="59">
        <v>214</v>
      </c>
      <c r="D22" s="60">
        <v>286</v>
      </c>
      <c r="E22" s="61"/>
      <c r="F22" s="714"/>
      <c r="G22" s="58">
        <v>142</v>
      </c>
      <c r="H22" s="59">
        <v>214</v>
      </c>
      <c r="I22" s="60">
        <v>286</v>
      </c>
      <c r="J22" s="10"/>
      <c r="K22" s="653"/>
      <c r="L22" s="653"/>
      <c r="M22" s="653"/>
      <c r="N22" s="653"/>
      <c r="O22" s="653"/>
      <c r="P22" s="653"/>
      <c r="Q22" s="653"/>
      <c r="R22" s="653"/>
      <c r="S22" s="653"/>
    </row>
    <row r="23" spans="1:19" ht="15" x14ac:dyDescent="0.25">
      <c r="A23" s="63">
        <v>600</v>
      </c>
      <c r="B23" s="334">
        <f>251.05*(KONSTK)</f>
        <v>251.05</v>
      </c>
      <c r="C23" s="335">
        <f>304.84*(KONSTK)</f>
        <v>304.83999999999997</v>
      </c>
      <c r="D23" s="336">
        <f>360.12*(KONSTK)</f>
        <v>360.12</v>
      </c>
      <c r="E23" s="62"/>
      <c r="F23" s="64">
        <v>600</v>
      </c>
      <c r="G23" s="334">
        <f>257.37*(KONSTK)</f>
        <v>257.37</v>
      </c>
      <c r="H23" s="335">
        <f>313.23*(KONSTK)</f>
        <v>313.23</v>
      </c>
      <c r="I23" s="336">
        <f>371.09*(KONSTK)</f>
        <v>371.09</v>
      </c>
      <c r="J23" s="10"/>
      <c r="K23" s="653"/>
      <c r="L23" s="653"/>
      <c r="M23" s="653"/>
      <c r="N23" s="653"/>
      <c r="O23" s="653"/>
      <c r="P23" s="653"/>
      <c r="Q23" s="653"/>
      <c r="R23" s="653"/>
      <c r="S23" s="653"/>
    </row>
    <row r="24" spans="1:19" ht="15" x14ac:dyDescent="0.25">
      <c r="A24" s="63">
        <v>800</v>
      </c>
      <c r="B24" s="337">
        <f>270.14*(KONSTK)</f>
        <v>270.14</v>
      </c>
      <c r="C24" s="309">
        <f>328.36*(KONSTK)</f>
        <v>328.36</v>
      </c>
      <c r="D24" s="338">
        <f>388.52*(KONSTK)</f>
        <v>388.52</v>
      </c>
      <c r="E24" s="62"/>
      <c r="F24" s="64">
        <v>800</v>
      </c>
      <c r="G24" s="337">
        <f>278.66*(KONSTK)</f>
        <v>278.66000000000003</v>
      </c>
      <c r="H24" s="309">
        <f>339.75*(KONSTK)</f>
        <v>339.75</v>
      </c>
      <c r="I24" s="338">
        <f>403.14*(KONSTK)</f>
        <v>403.14</v>
      </c>
      <c r="J24" s="10"/>
      <c r="K24" s="653"/>
      <c r="L24" s="653"/>
      <c r="M24" s="653"/>
      <c r="N24" s="653"/>
      <c r="O24" s="653"/>
      <c r="P24" s="653"/>
      <c r="Q24" s="653"/>
      <c r="R24" s="653"/>
      <c r="S24" s="653"/>
    </row>
    <row r="25" spans="1:19" ht="15" x14ac:dyDescent="0.25">
      <c r="A25" s="63">
        <v>1000</v>
      </c>
      <c r="B25" s="337">
        <f>296.17*(KONSTK)</f>
        <v>296.17</v>
      </c>
      <c r="C25" s="309">
        <f>362.77*(KONSTK)</f>
        <v>362.77</v>
      </c>
      <c r="D25" s="338">
        <f>431.76*(KONSTK)</f>
        <v>431.76</v>
      </c>
      <c r="E25" s="62"/>
      <c r="F25" s="64">
        <v>1000</v>
      </c>
      <c r="G25" s="337">
        <f>305.84*(KONSTK)</f>
        <v>305.83999999999997</v>
      </c>
      <c r="H25" s="309">
        <f>375.89*(KONSTK)</f>
        <v>375.89</v>
      </c>
      <c r="I25" s="338">
        <f>449.03*(KONSTK)</f>
        <v>449.03</v>
      </c>
      <c r="J25" s="10"/>
      <c r="K25" s="653"/>
      <c r="L25" s="653"/>
      <c r="M25" s="653"/>
      <c r="N25" s="653"/>
      <c r="O25" s="653"/>
      <c r="P25" s="653"/>
      <c r="Q25" s="653"/>
      <c r="R25" s="653"/>
      <c r="S25" s="653"/>
    </row>
    <row r="26" spans="1:19" ht="15" x14ac:dyDescent="0.25">
      <c r="A26" s="63">
        <v>1200</v>
      </c>
      <c r="B26" s="337">
        <f>319.83*(KONSTK)</f>
        <v>319.83</v>
      </c>
      <c r="C26" s="309">
        <f>389.67*(KONSTK)</f>
        <v>389.67</v>
      </c>
      <c r="D26" s="338">
        <f>462.67*(KONSTK)</f>
        <v>462.67</v>
      </c>
      <c r="E26" s="62"/>
      <c r="F26" s="64">
        <v>1200</v>
      </c>
      <c r="G26" s="337">
        <f>330.57*(KONSTK)</f>
        <v>330.57</v>
      </c>
      <c r="H26" s="309">
        <f>404.44*(KONSTK)</f>
        <v>404.44</v>
      </c>
      <c r="I26" s="338">
        <f>482.38*(KONSTK)</f>
        <v>482.38</v>
      </c>
      <c r="J26" s="10"/>
      <c r="K26" s="653"/>
      <c r="L26" s="653"/>
      <c r="M26" s="653"/>
      <c r="N26" s="653"/>
      <c r="O26" s="653"/>
      <c r="P26" s="653"/>
      <c r="Q26" s="653"/>
      <c r="R26" s="653"/>
      <c r="S26" s="653"/>
    </row>
    <row r="27" spans="1:19" ht="15" x14ac:dyDescent="0.25">
      <c r="A27" s="63">
        <v>1400</v>
      </c>
      <c r="B27" s="337">
        <f>352.31*(KONSTK)</f>
        <v>352.31</v>
      </c>
      <c r="C27" s="309">
        <f>431.61*(KONSTK)</f>
        <v>431.61</v>
      </c>
      <c r="D27" s="338">
        <f>514.29*(KONSTK)</f>
        <v>514.29</v>
      </c>
      <c r="E27" s="62"/>
      <c r="F27" s="64">
        <v>1400</v>
      </c>
      <c r="G27" s="337">
        <f>364.13*(KONSTK)</f>
        <v>364.13</v>
      </c>
      <c r="H27" s="309">
        <f>447.82*(KONSTK)</f>
        <v>447.82</v>
      </c>
      <c r="I27" s="338">
        <f>536.23*(KONSTK)</f>
        <v>536.23</v>
      </c>
      <c r="J27" s="10"/>
      <c r="K27" s="653"/>
      <c r="L27" s="653"/>
      <c r="M27" s="653"/>
      <c r="N27" s="653"/>
      <c r="O27" s="653"/>
      <c r="P27" s="653"/>
      <c r="Q27" s="653"/>
      <c r="R27" s="653"/>
      <c r="S27" s="653"/>
    </row>
    <row r="28" spans="1:19" ht="15" x14ac:dyDescent="0.25">
      <c r="A28" s="63">
        <v>1600</v>
      </c>
      <c r="B28" s="337">
        <f>375.4*(KONSTK)</f>
        <v>375.4</v>
      </c>
      <c r="C28" s="309">
        <f>460.88*(KONSTK)</f>
        <v>460.88</v>
      </c>
      <c r="D28" s="338">
        <f>550.58*(KONSTK)</f>
        <v>550.58000000000004</v>
      </c>
      <c r="E28" s="62"/>
      <c r="F28" s="64">
        <v>1600</v>
      </c>
      <c r="G28" s="337">
        <f>387.88*(KONSTK)</f>
        <v>387.88</v>
      </c>
      <c r="H28" s="309">
        <f>478.66*(KONSTK)</f>
        <v>478.66</v>
      </c>
      <c r="I28" s="338">
        <f>574.6*(KONSTK)</f>
        <v>574.6</v>
      </c>
      <c r="J28" s="10"/>
      <c r="K28" s="653"/>
      <c r="L28" s="653"/>
      <c r="M28" s="653"/>
      <c r="N28" s="653"/>
      <c r="O28" s="653"/>
      <c r="P28" s="653"/>
      <c r="Q28" s="653"/>
      <c r="R28" s="653"/>
      <c r="S28" s="653"/>
    </row>
    <row r="29" spans="1:19" ht="15" x14ac:dyDescent="0.25">
      <c r="A29" s="63">
        <v>1800</v>
      </c>
      <c r="B29" s="337">
        <f>398.98*(KONSTK)</f>
        <v>398.98</v>
      </c>
      <c r="C29" s="309">
        <f>491.07*(KONSTK)</f>
        <v>491.07</v>
      </c>
      <c r="D29" s="338">
        <f>587.66*(KONSTK)</f>
        <v>587.66</v>
      </c>
      <c r="E29" s="62"/>
      <c r="F29" s="64">
        <v>1800</v>
      </c>
      <c r="G29" s="337">
        <f>412.82*(KONSTK)</f>
        <v>412.82</v>
      </c>
      <c r="H29" s="309">
        <f>510.63*(KONSTK)</f>
        <v>510.63</v>
      </c>
      <c r="I29" s="338">
        <f>614.18*(KONSTK)</f>
        <v>614.17999999999995</v>
      </c>
      <c r="J29" s="10"/>
      <c r="K29" s="653"/>
      <c r="L29" s="653"/>
      <c r="M29" s="653"/>
      <c r="N29" s="653"/>
      <c r="O29" s="653"/>
      <c r="P29" s="653"/>
      <c r="Q29" s="653"/>
      <c r="R29" s="653"/>
      <c r="S29" s="653"/>
    </row>
    <row r="30" spans="1:19" ht="15" x14ac:dyDescent="0.25">
      <c r="A30" s="63">
        <v>2000</v>
      </c>
      <c r="B30" s="337">
        <f>413.12*(KONSTK)</f>
        <v>413.12</v>
      </c>
      <c r="C30" s="309">
        <f>506.55*(KONSTK)</f>
        <v>506.55</v>
      </c>
      <c r="D30" s="338">
        <f>605.36*(KONSTK)</f>
        <v>605.36</v>
      </c>
      <c r="E30" s="62"/>
      <c r="F30" s="64">
        <v>2000</v>
      </c>
      <c r="G30" s="337">
        <f>427.95*(KONSTK)</f>
        <v>427.95</v>
      </c>
      <c r="H30" s="309">
        <f>527.71*(KONSTK)</f>
        <v>527.71</v>
      </c>
      <c r="I30" s="338">
        <f>634.34*(KONSTK)</f>
        <v>634.34</v>
      </c>
      <c r="J30" s="10"/>
      <c r="K30" s="653"/>
      <c r="L30" s="653"/>
      <c r="M30" s="653"/>
      <c r="N30" s="653"/>
      <c r="O30" s="653"/>
      <c r="P30" s="653"/>
      <c r="Q30" s="653"/>
      <c r="R30" s="653"/>
      <c r="S30" s="653"/>
    </row>
    <row r="31" spans="1:19" ht="15" x14ac:dyDescent="0.25">
      <c r="A31" s="63">
        <v>2300</v>
      </c>
      <c r="B31" s="337">
        <f>469.63*(KONSTK)</f>
        <v>469.63</v>
      </c>
      <c r="C31" s="309">
        <f>577.62*(KONSTK)</f>
        <v>577.62</v>
      </c>
      <c r="D31" s="338">
        <f>691.42*(KONSTK)</f>
        <v>691.42</v>
      </c>
      <c r="E31" s="62"/>
      <c r="F31" s="64">
        <v>2300</v>
      </c>
      <c r="G31" s="337">
        <f>484.83*(KONSTK)</f>
        <v>484.83</v>
      </c>
      <c r="H31" s="309">
        <f>599.91*(KONSTK)</f>
        <v>599.91</v>
      </c>
      <c r="I31" s="338">
        <f>722.76*(KONSTK)</f>
        <v>722.76</v>
      </c>
      <c r="J31" s="10"/>
      <c r="K31" s="653"/>
      <c r="L31" s="653"/>
      <c r="M31" s="653"/>
      <c r="N31" s="653"/>
      <c r="O31" s="653"/>
      <c r="P31" s="653"/>
      <c r="Q31" s="653"/>
      <c r="R31" s="653"/>
      <c r="S31" s="653"/>
    </row>
    <row r="32" spans="1:19" ht="15" x14ac:dyDescent="0.25">
      <c r="A32" s="63">
        <v>2600</v>
      </c>
      <c r="B32" s="337">
        <f>502.32*(KONSTK)</f>
        <v>502.32</v>
      </c>
      <c r="C32" s="309">
        <f>621*(KONSTK)</f>
        <v>621</v>
      </c>
      <c r="D32" s="338">
        <f>745.13*(KONSTK)</f>
        <v>745.13</v>
      </c>
      <c r="E32" s="62"/>
      <c r="F32" s="64">
        <v>2600</v>
      </c>
      <c r="G32" s="337">
        <f>521.12*(KONSTK)</f>
        <v>521.12</v>
      </c>
      <c r="H32" s="309">
        <f>647.82*(KONSTK)</f>
        <v>647.82000000000005</v>
      </c>
      <c r="I32" s="338">
        <f>781.91*(KONSTK)</f>
        <v>781.91</v>
      </c>
      <c r="J32" s="10"/>
      <c r="K32" s="653"/>
      <c r="L32" s="653"/>
      <c r="M32" s="653"/>
      <c r="N32" s="653"/>
      <c r="O32" s="653"/>
      <c r="P32" s="653"/>
      <c r="Q32" s="653"/>
      <c r="R32" s="653"/>
      <c r="S32" s="653"/>
    </row>
    <row r="33" spans="1:19" ht="15.75" thickBot="1" x14ac:dyDescent="0.3">
      <c r="A33" s="65">
        <v>3000</v>
      </c>
      <c r="B33" s="339">
        <f>534.81*(KONSTK)</f>
        <v>534.80999999999995</v>
      </c>
      <c r="C33" s="340">
        <f>659.07*(KONSTK)</f>
        <v>659.07</v>
      </c>
      <c r="D33" s="341">
        <f>789.74*(KONSTK)</f>
        <v>789.74</v>
      </c>
      <c r="E33" s="62"/>
      <c r="F33" s="66">
        <v>3000</v>
      </c>
      <c r="G33" s="339">
        <f>556.18*(KONSTK)</f>
        <v>556.17999999999995</v>
      </c>
      <c r="H33" s="340">
        <f>689.62*(KONSTK)</f>
        <v>689.62</v>
      </c>
      <c r="I33" s="341">
        <f>831.83*(KONSTK)</f>
        <v>831.83</v>
      </c>
      <c r="J33" s="10"/>
      <c r="K33" s="653"/>
      <c r="L33" s="653"/>
      <c r="M33" s="653"/>
      <c r="N33" s="653"/>
      <c r="O33" s="653"/>
      <c r="P33" s="653"/>
      <c r="Q33" s="653"/>
      <c r="R33" s="653"/>
      <c r="S33" s="653"/>
    </row>
    <row r="34" spans="1:19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9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9" x14ac:dyDescent="0.2">
      <c r="A36" s="99" t="s">
        <v>204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9" x14ac:dyDescent="0.2">
      <c r="A37" s="398" t="s">
        <v>205</v>
      </c>
      <c r="B37" s="100"/>
      <c r="C37" s="253">
        <f>(12.02)*(KONSTK)</f>
        <v>12.02</v>
      </c>
      <c r="D37" s="10"/>
      <c r="E37" s="10"/>
      <c r="F37" s="10"/>
      <c r="G37" s="10"/>
      <c r="H37" s="10"/>
      <c r="I37" s="10"/>
      <c r="J37" s="10"/>
    </row>
    <row r="38" spans="1:19" x14ac:dyDescent="0.2">
      <c r="A38" s="398" t="s">
        <v>206</v>
      </c>
      <c r="B38" s="100"/>
      <c r="C38" s="253">
        <f>(12.02)*(KONSTK)</f>
        <v>12.02</v>
      </c>
      <c r="D38" s="10"/>
      <c r="E38" s="10"/>
      <c r="F38" s="10"/>
      <c r="G38" s="10"/>
      <c r="H38" s="10"/>
      <c r="I38" s="10"/>
      <c r="J38" s="10"/>
    </row>
    <row r="39" spans="1:19" x14ac:dyDescent="0.2">
      <c r="A39" s="398" t="s">
        <v>207</v>
      </c>
      <c r="B39" s="100"/>
      <c r="C39" s="253">
        <f>(12.02)*(KONSTK)</f>
        <v>12.02</v>
      </c>
      <c r="D39" s="10"/>
      <c r="E39" s="10"/>
      <c r="F39" s="10"/>
      <c r="G39" s="10"/>
      <c r="H39" s="10"/>
      <c r="I39" s="10"/>
      <c r="J39" s="10"/>
    </row>
    <row r="40" spans="1:19" x14ac:dyDescent="0.2">
      <c r="A40" s="398" t="s">
        <v>208</v>
      </c>
      <c r="B40" s="100"/>
      <c r="C40" s="253">
        <f>(38.34)*(KONSTK)</f>
        <v>38.340000000000003</v>
      </c>
      <c r="D40" s="10"/>
      <c r="E40" s="10"/>
      <c r="F40" s="10"/>
      <c r="G40" s="10"/>
      <c r="H40" s="10"/>
      <c r="I40" s="10"/>
      <c r="J40" s="10"/>
    </row>
    <row r="41" spans="1:19" x14ac:dyDescent="0.2">
      <c r="A41" s="398" t="s">
        <v>209</v>
      </c>
      <c r="B41" s="100"/>
      <c r="C41" s="253">
        <f>38.34*(KONSTK)</f>
        <v>38.340000000000003</v>
      </c>
      <c r="D41" s="10"/>
      <c r="E41" s="10"/>
      <c r="F41" s="10"/>
      <c r="G41" s="10"/>
      <c r="H41" s="10"/>
      <c r="I41" s="10"/>
      <c r="J41" s="10"/>
    </row>
    <row r="42" spans="1:19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9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9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9" x14ac:dyDescent="0.2">
      <c r="A45" s="40" t="s">
        <v>184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9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9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9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sheetProtection formatCells="0" formatColumns="0" formatRows="0" insertColumns="0" insertRows="0" insertHyperlinks="0" deleteColumns="0" deleteRows="0" sort="0" autoFilter="0" pivotTables="0"/>
  <mergeCells count="5">
    <mergeCell ref="A21:A22"/>
    <mergeCell ref="F21:F22"/>
    <mergeCell ref="D2:E2"/>
    <mergeCell ref="A7:A8"/>
    <mergeCell ref="F7:F8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C3" sqref="C3"/>
    </sheetView>
  </sheetViews>
  <sheetFormatPr defaultRowHeight="12.75" x14ac:dyDescent="0.2"/>
  <cols>
    <col min="1" max="1" width="14.42578125" customWidth="1"/>
    <col min="3" max="3" width="10.7109375" customWidth="1"/>
    <col min="4" max="4" width="5.7109375" customWidth="1"/>
    <col min="5" max="5" width="4.7109375" customWidth="1"/>
    <col min="6" max="6" width="6" customWidth="1"/>
    <col min="7" max="7" width="0.7109375" customWidth="1"/>
    <col min="8" max="8" width="10.85546875" customWidth="1"/>
    <col min="9" max="9" width="12" customWidth="1"/>
    <col min="12" max="12" width="5.85546875" customWidth="1"/>
    <col min="13" max="13" width="6.85546875" customWidth="1"/>
  </cols>
  <sheetData>
    <row r="1" spans="1:13" ht="19.5" x14ac:dyDescent="0.25">
      <c r="A1" s="102"/>
      <c r="B1" s="102"/>
      <c r="C1" s="646" t="s">
        <v>210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1:13" ht="15" x14ac:dyDescent="0.2">
      <c r="A2" s="103" t="s">
        <v>171</v>
      </c>
      <c r="B2" s="10"/>
      <c r="C2" s="10"/>
      <c r="D2" s="10"/>
      <c r="E2" s="10"/>
      <c r="G2" s="10"/>
      <c r="H2" s="10"/>
      <c r="I2" s="10"/>
      <c r="J2" s="10"/>
      <c r="K2" s="10"/>
      <c r="L2" s="96" t="s">
        <v>416</v>
      </c>
    </row>
    <row r="3" spans="1:13" ht="15" x14ac:dyDescent="0.2">
      <c r="B3" s="658" t="s">
        <v>172</v>
      </c>
      <c r="C3" s="657">
        <v>0</v>
      </c>
      <c r="D3" s="511"/>
      <c r="E3" s="108"/>
      <c r="F3" s="108"/>
      <c r="G3" s="10"/>
      <c r="H3" s="10"/>
      <c r="I3" s="10"/>
      <c r="J3" s="10"/>
    </row>
    <row r="4" spans="1:13" x14ac:dyDescent="0.2">
      <c r="A4" s="659">
        <f>(1-C3)</f>
        <v>1</v>
      </c>
      <c r="B4" s="108"/>
      <c r="C4" s="108"/>
      <c r="D4" s="108"/>
      <c r="E4" s="108"/>
      <c r="F4" s="108"/>
      <c r="G4" s="98"/>
      <c r="H4" s="98"/>
      <c r="I4" s="98"/>
      <c r="J4" s="98"/>
    </row>
    <row r="5" spans="1:13" x14ac:dyDescent="0.2">
      <c r="A5" s="109"/>
      <c r="B5" s="109"/>
      <c r="C5" s="109"/>
      <c r="D5" s="109"/>
      <c r="E5" s="109"/>
      <c r="F5" s="110"/>
      <c r="G5" s="42"/>
      <c r="H5" s="134"/>
      <c r="I5" s="134"/>
      <c r="J5" s="134"/>
      <c r="K5" s="135"/>
      <c r="L5" s="135"/>
    </row>
    <row r="6" spans="1:13" x14ac:dyDescent="0.2">
      <c r="A6" s="111" t="s">
        <v>211</v>
      </c>
      <c r="B6" s="111" t="s">
        <v>173</v>
      </c>
      <c r="C6" s="111" t="s">
        <v>212</v>
      </c>
      <c r="D6" s="112" t="s">
        <v>174</v>
      </c>
      <c r="E6" s="112" t="s">
        <v>213</v>
      </c>
      <c r="F6" s="112" t="s">
        <v>170</v>
      </c>
      <c r="G6" s="107"/>
      <c r="H6" s="136" t="s">
        <v>211</v>
      </c>
      <c r="I6" s="630"/>
      <c r="J6" s="137" t="s">
        <v>173</v>
      </c>
      <c r="K6" s="138" t="s">
        <v>214</v>
      </c>
      <c r="L6" s="139" t="s">
        <v>170</v>
      </c>
    </row>
    <row r="7" spans="1:13" x14ac:dyDescent="0.2">
      <c r="A7" s="116" t="s">
        <v>34</v>
      </c>
      <c r="B7" s="116" t="s">
        <v>35</v>
      </c>
      <c r="C7" s="113" t="s">
        <v>215</v>
      </c>
      <c r="D7" s="523">
        <v>830</v>
      </c>
      <c r="E7" s="524">
        <v>500</v>
      </c>
      <c r="F7" s="494">
        <f>462.94*(KONSTTW)</f>
        <v>462.94</v>
      </c>
      <c r="G7" s="491"/>
      <c r="H7" s="116" t="s">
        <v>225</v>
      </c>
      <c r="I7" s="631"/>
      <c r="J7" s="127" t="s">
        <v>32</v>
      </c>
      <c r="K7" s="120">
        <v>5530851</v>
      </c>
      <c r="L7" s="492">
        <f>96.3*(KONSTTW)</f>
        <v>96.3</v>
      </c>
      <c r="M7" s="493"/>
    </row>
    <row r="8" spans="1:13" x14ac:dyDescent="0.2">
      <c r="A8" s="116" t="s">
        <v>34</v>
      </c>
      <c r="B8" s="116" t="s">
        <v>36</v>
      </c>
      <c r="C8" s="114" t="s">
        <v>215</v>
      </c>
      <c r="D8" s="523">
        <v>830</v>
      </c>
      <c r="E8" s="524">
        <v>650</v>
      </c>
      <c r="F8" s="498">
        <f>462.89*(KONSTTW)</f>
        <v>462.89</v>
      </c>
      <c r="G8" s="124"/>
      <c r="H8" s="117" t="s">
        <v>226</v>
      </c>
      <c r="I8" s="632"/>
      <c r="J8" s="128" t="s">
        <v>33</v>
      </c>
      <c r="K8" s="123">
        <v>5530861</v>
      </c>
      <c r="L8" s="495">
        <f>114.88*(KONSTTW)</f>
        <v>114.88</v>
      </c>
      <c r="M8" s="493"/>
    </row>
    <row r="9" spans="1:13" x14ac:dyDescent="0.2">
      <c r="A9" s="116" t="s">
        <v>34</v>
      </c>
      <c r="B9" s="116" t="s">
        <v>37</v>
      </c>
      <c r="C9" s="114" t="s">
        <v>215</v>
      </c>
      <c r="D9" s="523">
        <v>1130</v>
      </c>
      <c r="E9" s="524">
        <v>650</v>
      </c>
      <c r="F9" s="498">
        <f>613.54*(KONSTTW)</f>
        <v>613.54</v>
      </c>
      <c r="G9" s="124"/>
      <c r="H9" s="130" t="s">
        <v>227</v>
      </c>
      <c r="I9" s="633"/>
      <c r="J9" s="131" t="s">
        <v>67</v>
      </c>
      <c r="K9" s="133">
        <v>4036111</v>
      </c>
      <c r="L9" s="497">
        <f>50.92*(KONSTTW)</f>
        <v>50.92</v>
      </c>
      <c r="M9" s="493"/>
    </row>
    <row r="10" spans="1:13" x14ac:dyDescent="0.2">
      <c r="A10" s="116" t="s">
        <v>34</v>
      </c>
      <c r="B10" s="116" t="s">
        <v>38</v>
      </c>
      <c r="C10" s="114" t="s">
        <v>215</v>
      </c>
      <c r="D10" s="523">
        <v>1430</v>
      </c>
      <c r="E10" s="524">
        <v>650</v>
      </c>
      <c r="F10" s="498">
        <f>712.87*(KONSTTW)</f>
        <v>712.87</v>
      </c>
      <c r="G10" s="124"/>
      <c r="H10" s="116" t="s">
        <v>228</v>
      </c>
      <c r="I10" s="631"/>
      <c r="J10" s="127" t="s">
        <v>68</v>
      </c>
      <c r="K10" s="120">
        <v>4036121</v>
      </c>
      <c r="L10" s="494">
        <f>50.92*(KONSTTW)</f>
        <v>50.92</v>
      </c>
      <c r="M10" s="493"/>
    </row>
    <row r="11" spans="1:13" x14ac:dyDescent="0.2">
      <c r="A11" s="117" t="s">
        <v>34</v>
      </c>
      <c r="B11" s="117" t="s">
        <v>39</v>
      </c>
      <c r="C11" s="115" t="s">
        <v>215</v>
      </c>
      <c r="D11" s="527">
        <v>1730</v>
      </c>
      <c r="E11" s="528">
        <v>800</v>
      </c>
      <c r="F11" s="496">
        <f>840.05*(KONSTTW)</f>
        <v>840.05</v>
      </c>
      <c r="G11" s="124"/>
      <c r="H11" s="117" t="s">
        <v>229</v>
      </c>
      <c r="I11" s="117"/>
      <c r="J11" s="129" t="s">
        <v>69</v>
      </c>
      <c r="K11" s="510" t="s">
        <v>70</v>
      </c>
      <c r="L11" s="496">
        <f>150.11*(KONSTTW)</f>
        <v>150.11000000000001</v>
      </c>
      <c r="M11" s="493"/>
    </row>
    <row r="12" spans="1:13" x14ac:dyDescent="0.2">
      <c r="A12" s="118" t="s">
        <v>40</v>
      </c>
      <c r="B12" s="116" t="s">
        <v>41</v>
      </c>
      <c r="C12" s="114" t="s">
        <v>215</v>
      </c>
      <c r="D12" s="523">
        <v>547</v>
      </c>
      <c r="E12" s="524">
        <v>500</v>
      </c>
      <c r="F12" s="498">
        <f>98.52*(KONSTTW)</f>
        <v>98.52</v>
      </c>
      <c r="G12" s="124"/>
      <c r="H12" s="491" t="s">
        <v>230</v>
      </c>
      <c r="I12" s="491"/>
      <c r="J12" s="493"/>
      <c r="K12" s="493"/>
      <c r="L12" s="493"/>
      <c r="M12" s="493"/>
    </row>
    <row r="13" spans="1:13" x14ac:dyDescent="0.2">
      <c r="A13" s="118" t="s">
        <v>40</v>
      </c>
      <c r="B13" s="116" t="s">
        <v>42</v>
      </c>
      <c r="C13" s="114" t="s">
        <v>215</v>
      </c>
      <c r="D13" s="523">
        <v>862</v>
      </c>
      <c r="E13" s="524">
        <v>500</v>
      </c>
      <c r="F13" s="498">
        <f>125.56*(KONSTTW)</f>
        <v>125.56</v>
      </c>
      <c r="G13" s="125"/>
      <c r="H13" s="111" t="s">
        <v>211</v>
      </c>
      <c r="I13" s="111" t="s">
        <v>173</v>
      </c>
      <c r="J13" s="111" t="s">
        <v>212</v>
      </c>
      <c r="K13" s="112" t="s">
        <v>174</v>
      </c>
      <c r="L13" s="112" t="s">
        <v>213</v>
      </c>
      <c r="M13" s="112" t="s">
        <v>170</v>
      </c>
    </row>
    <row r="14" spans="1:13" x14ac:dyDescent="0.2">
      <c r="A14" s="118" t="s">
        <v>40</v>
      </c>
      <c r="B14" s="116" t="s">
        <v>43</v>
      </c>
      <c r="C14" s="114" t="s">
        <v>215</v>
      </c>
      <c r="D14" s="523">
        <v>1222</v>
      </c>
      <c r="E14" s="524">
        <v>500</v>
      </c>
      <c r="F14" s="498">
        <f>156.97*(KONSTTW)</f>
        <v>156.97</v>
      </c>
      <c r="G14" s="126"/>
      <c r="H14" s="512" t="s">
        <v>222</v>
      </c>
      <c r="I14" s="512" t="s">
        <v>268</v>
      </c>
      <c r="J14" s="512" t="s">
        <v>79</v>
      </c>
      <c r="K14" s="512">
        <v>1100</v>
      </c>
      <c r="L14" s="512">
        <v>500</v>
      </c>
      <c r="M14" s="512">
        <f>381.07*(KONSTTW)</f>
        <v>381.07</v>
      </c>
    </row>
    <row r="15" spans="1:13" x14ac:dyDescent="0.2">
      <c r="A15" s="118" t="s">
        <v>40</v>
      </c>
      <c r="B15" s="116" t="s">
        <v>44</v>
      </c>
      <c r="C15" s="114" t="s">
        <v>215</v>
      </c>
      <c r="D15" s="523">
        <v>1537</v>
      </c>
      <c r="E15" s="524">
        <v>600</v>
      </c>
      <c r="F15" s="498">
        <f>164.79*(KONSTTW)</f>
        <v>164.79</v>
      </c>
      <c r="G15" s="491"/>
      <c r="H15" s="513" t="s">
        <v>222</v>
      </c>
      <c r="I15" s="513" t="s">
        <v>269</v>
      </c>
      <c r="J15" s="513" t="s">
        <v>79</v>
      </c>
      <c r="K15" s="513">
        <v>1100</v>
      </c>
      <c r="L15" s="513">
        <v>600</v>
      </c>
      <c r="M15" s="513">
        <f>391.39*(KONSTTW)</f>
        <v>391.39</v>
      </c>
    </row>
    <row r="16" spans="1:13" x14ac:dyDescent="0.2">
      <c r="A16" s="118" t="s">
        <v>45</v>
      </c>
      <c r="B16" s="116" t="s">
        <v>46</v>
      </c>
      <c r="C16" s="116" t="s">
        <v>216</v>
      </c>
      <c r="D16" s="523">
        <v>862</v>
      </c>
      <c r="E16" s="524">
        <v>500</v>
      </c>
      <c r="F16" s="498">
        <f>332.8*(KONSTTW)</f>
        <v>332.8</v>
      </c>
      <c r="G16" s="124"/>
      <c r="H16" s="513" t="s">
        <v>222</v>
      </c>
      <c r="I16" s="513" t="s">
        <v>270</v>
      </c>
      <c r="J16" s="513" t="s">
        <v>79</v>
      </c>
      <c r="K16" s="513">
        <v>1100</v>
      </c>
      <c r="L16" s="513">
        <v>750</v>
      </c>
      <c r="M16" s="513">
        <f>407.25*(KONSTTW)</f>
        <v>407.25</v>
      </c>
    </row>
    <row r="17" spans="1:13" x14ac:dyDescent="0.2">
      <c r="A17" s="118" t="s">
        <v>45</v>
      </c>
      <c r="B17" s="119" t="s">
        <v>47</v>
      </c>
      <c r="C17" s="116" t="s">
        <v>216</v>
      </c>
      <c r="D17" s="541">
        <v>1222</v>
      </c>
      <c r="E17" s="541">
        <v>500</v>
      </c>
      <c r="F17" s="498">
        <f>407.02*(KONSTTW)</f>
        <v>407.02</v>
      </c>
      <c r="G17" s="124"/>
      <c r="H17" s="513" t="s">
        <v>222</v>
      </c>
      <c r="I17" s="114" t="s">
        <v>271</v>
      </c>
      <c r="J17" s="513" t="s">
        <v>79</v>
      </c>
      <c r="K17" s="114">
        <v>1100</v>
      </c>
      <c r="L17" s="513">
        <v>900</v>
      </c>
      <c r="M17" s="513">
        <f>429.44*(KONSTTW)</f>
        <v>429.44</v>
      </c>
    </row>
    <row r="18" spans="1:13" x14ac:dyDescent="0.2">
      <c r="A18" s="118" t="s">
        <v>45</v>
      </c>
      <c r="B18" s="119" t="s">
        <v>48</v>
      </c>
      <c r="C18" s="116" t="s">
        <v>216</v>
      </c>
      <c r="D18" s="541">
        <v>1537</v>
      </c>
      <c r="E18" s="541">
        <v>600</v>
      </c>
      <c r="F18" s="498">
        <f>540.68*(KONSTTW)</f>
        <v>540.67999999999995</v>
      </c>
      <c r="G18" s="499"/>
      <c r="H18" s="513" t="s">
        <v>222</v>
      </c>
      <c r="I18" s="118" t="s">
        <v>272</v>
      </c>
      <c r="J18" s="513" t="s">
        <v>79</v>
      </c>
      <c r="K18" s="513">
        <v>1800</v>
      </c>
      <c r="L18" s="513">
        <v>500</v>
      </c>
      <c r="M18" s="513">
        <f>480.91*(KONSTTW)</f>
        <v>480.91</v>
      </c>
    </row>
    <row r="19" spans="1:13" x14ac:dyDescent="0.2">
      <c r="A19" s="399" t="s">
        <v>71</v>
      </c>
      <c r="B19" s="130" t="s">
        <v>49</v>
      </c>
      <c r="C19" s="113" t="s">
        <v>215</v>
      </c>
      <c r="D19" s="539">
        <v>547</v>
      </c>
      <c r="E19" s="540">
        <v>500</v>
      </c>
      <c r="F19" s="490">
        <f>135.17*(KONSTTW)</f>
        <v>135.16999999999999</v>
      </c>
      <c r="G19" s="499"/>
      <c r="H19" s="513" t="s">
        <v>222</v>
      </c>
      <c r="I19" s="513" t="s">
        <v>273</v>
      </c>
      <c r="J19" s="513" t="s">
        <v>79</v>
      </c>
      <c r="K19" s="513">
        <v>1800</v>
      </c>
      <c r="L19" s="513">
        <v>600</v>
      </c>
      <c r="M19" s="513">
        <f>494.54*(KONSTTW)</f>
        <v>494.54</v>
      </c>
    </row>
    <row r="20" spans="1:13" x14ac:dyDescent="0.2">
      <c r="A20" s="118" t="s">
        <v>71</v>
      </c>
      <c r="B20" s="116" t="s">
        <v>50</v>
      </c>
      <c r="C20" s="114" t="s">
        <v>215</v>
      </c>
      <c r="D20" s="523">
        <v>862</v>
      </c>
      <c r="E20" s="524">
        <v>500</v>
      </c>
      <c r="F20" s="498">
        <f>162.35*(KONSTTW)</f>
        <v>162.35</v>
      </c>
      <c r="G20" s="499"/>
      <c r="H20" s="513" t="s">
        <v>222</v>
      </c>
      <c r="I20" s="513" t="s">
        <v>274</v>
      </c>
      <c r="J20" s="513" t="s">
        <v>79</v>
      </c>
      <c r="K20" s="514">
        <v>1800</v>
      </c>
      <c r="L20" s="514">
        <v>750</v>
      </c>
      <c r="M20" s="513">
        <f>515.43*(KONSTTW)</f>
        <v>515.42999999999995</v>
      </c>
    </row>
    <row r="21" spans="1:13" x14ac:dyDescent="0.2">
      <c r="A21" s="118" t="s">
        <v>71</v>
      </c>
      <c r="B21" s="116" t="s">
        <v>51</v>
      </c>
      <c r="C21" s="114" t="s">
        <v>215</v>
      </c>
      <c r="D21" s="523">
        <v>1222</v>
      </c>
      <c r="E21" s="524">
        <v>500</v>
      </c>
      <c r="F21" s="498">
        <f>193.76*(KONSTTW)</f>
        <v>193.76</v>
      </c>
      <c r="G21" s="499"/>
      <c r="H21" s="513" t="s">
        <v>222</v>
      </c>
      <c r="I21" s="513" t="s">
        <v>275</v>
      </c>
      <c r="J21" s="513" t="s">
        <v>79</v>
      </c>
      <c r="K21" s="514">
        <v>1800</v>
      </c>
      <c r="L21" s="514">
        <v>900</v>
      </c>
      <c r="M21" s="513">
        <f>544.46*(KONSTTW)</f>
        <v>544.46</v>
      </c>
    </row>
    <row r="22" spans="1:13" x14ac:dyDescent="0.2">
      <c r="A22" s="118" t="s">
        <v>71</v>
      </c>
      <c r="B22" s="116" t="s">
        <v>52</v>
      </c>
      <c r="C22" s="114" t="s">
        <v>215</v>
      </c>
      <c r="D22" s="523">
        <v>1537</v>
      </c>
      <c r="E22" s="524">
        <v>600</v>
      </c>
      <c r="F22" s="498">
        <f>223.81*(KONSTTW)</f>
        <v>223.81</v>
      </c>
      <c r="G22" s="499"/>
      <c r="H22" s="655" t="s">
        <v>220</v>
      </c>
      <c r="I22" s="655" t="s">
        <v>288</v>
      </c>
      <c r="J22" s="512" t="s">
        <v>79</v>
      </c>
      <c r="K22" s="530">
        <v>800</v>
      </c>
      <c r="L22" s="530">
        <v>500</v>
      </c>
      <c r="M22" s="512">
        <f>266.38*(KONSTTW)</f>
        <v>266.38</v>
      </c>
    </row>
    <row r="23" spans="1:13" x14ac:dyDescent="0.2">
      <c r="A23" s="118" t="s">
        <v>72</v>
      </c>
      <c r="B23" s="119" t="s">
        <v>53</v>
      </c>
      <c r="C23" s="116" t="s">
        <v>216</v>
      </c>
      <c r="D23" s="523">
        <v>862</v>
      </c>
      <c r="E23" s="524">
        <v>500</v>
      </c>
      <c r="F23" s="498">
        <f>332.8*(KONSTTW)</f>
        <v>332.8</v>
      </c>
      <c r="G23" s="499"/>
      <c r="H23" s="515" t="s">
        <v>220</v>
      </c>
      <c r="I23" s="513" t="s">
        <v>289</v>
      </c>
      <c r="J23" s="513" t="s">
        <v>79</v>
      </c>
      <c r="K23" s="514">
        <v>800</v>
      </c>
      <c r="L23" s="514">
        <v>600</v>
      </c>
      <c r="M23" s="513">
        <f>274.75*(KONSTTW)</f>
        <v>274.75</v>
      </c>
    </row>
    <row r="24" spans="1:13" x14ac:dyDescent="0.2">
      <c r="A24" s="118" t="s">
        <v>72</v>
      </c>
      <c r="B24" s="119" t="s">
        <v>54</v>
      </c>
      <c r="C24" s="116" t="s">
        <v>216</v>
      </c>
      <c r="D24" s="541">
        <v>1222</v>
      </c>
      <c r="E24" s="541">
        <v>500</v>
      </c>
      <c r="F24" s="498">
        <f>443.81*(KONSTTW)</f>
        <v>443.81</v>
      </c>
      <c r="G24" s="500"/>
      <c r="H24" s="515" t="s">
        <v>220</v>
      </c>
      <c r="I24" s="516" t="s">
        <v>290</v>
      </c>
      <c r="J24" s="513" t="s">
        <v>79</v>
      </c>
      <c r="K24" s="514">
        <v>800</v>
      </c>
      <c r="L24" s="514">
        <v>750</v>
      </c>
      <c r="M24" s="513">
        <f>292.37*(KONSTTW)</f>
        <v>292.37</v>
      </c>
    </row>
    <row r="25" spans="1:13" x14ac:dyDescent="0.2">
      <c r="A25" s="121" t="s">
        <v>72</v>
      </c>
      <c r="B25" s="122" t="s">
        <v>55</v>
      </c>
      <c r="C25" s="117" t="s">
        <v>216</v>
      </c>
      <c r="D25" s="656">
        <v>1537</v>
      </c>
      <c r="E25" s="656">
        <v>600</v>
      </c>
      <c r="F25" s="501">
        <f>584*(KONSTTW)</f>
        <v>584</v>
      </c>
      <c r="G25" s="500"/>
      <c r="H25" s="515" t="s">
        <v>220</v>
      </c>
      <c r="I25" s="517" t="s">
        <v>291</v>
      </c>
      <c r="J25" s="513" t="s">
        <v>79</v>
      </c>
      <c r="K25" s="514">
        <v>1200</v>
      </c>
      <c r="L25" s="514">
        <v>500</v>
      </c>
      <c r="M25" s="513">
        <f>303.78*(KONSTTW)</f>
        <v>303.77999999999997</v>
      </c>
    </row>
    <row r="26" spans="1:13" x14ac:dyDescent="0.2">
      <c r="A26" s="118" t="s">
        <v>56</v>
      </c>
      <c r="B26" s="116" t="s">
        <v>57</v>
      </c>
      <c r="C26" s="114" t="s">
        <v>215</v>
      </c>
      <c r="D26" s="523">
        <v>700</v>
      </c>
      <c r="E26" s="524">
        <v>500</v>
      </c>
      <c r="F26" s="498">
        <f>133.88*(KONSTTW)</f>
        <v>133.88</v>
      </c>
      <c r="G26" s="500"/>
      <c r="H26" s="515" t="s">
        <v>220</v>
      </c>
      <c r="I26" s="517" t="s">
        <v>292</v>
      </c>
      <c r="J26" s="513" t="s">
        <v>79</v>
      </c>
      <c r="K26" s="514">
        <v>1200</v>
      </c>
      <c r="L26" s="514">
        <v>600</v>
      </c>
      <c r="M26" s="513">
        <f>313.26*(KONSTTW)</f>
        <v>313.26</v>
      </c>
    </row>
    <row r="27" spans="1:13" x14ac:dyDescent="0.2">
      <c r="A27" s="118" t="s">
        <v>56</v>
      </c>
      <c r="B27" s="116" t="s">
        <v>58</v>
      </c>
      <c r="C27" s="114" t="s">
        <v>215</v>
      </c>
      <c r="D27" s="523">
        <v>912</v>
      </c>
      <c r="E27" s="524">
        <v>500</v>
      </c>
      <c r="F27" s="498">
        <f>147.94*(KONSTTW)</f>
        <v>147.94</v>
      </c>
      <c r="G27" s="500"/>
      <c r="H27" s="515" t="s">
        <v>220</v>
      </c>
      <c r="I27" s="517" t="s">
        <v>293</v>
      </c>
      <c r="J27" s="513" t="s">
        <v>79</v>
      </c>
      <c r="K27" s="514">
        <v>1200</v>
      </c>
      <c r="L27" s="514">
        <v>750</v>
      </c>
      <c r="M27" s="513">
        <f>333.03*(KONSTTW)</f>
        <v>333.03</v>
      </c>
    </row>
    <row r="28" spans="1:13" x14ac:dyDescent="0.2">
      <c r="A28" s="118" t="s">
        <v>56</v>
      </c>
      <c r="B28" s="116" t="s">
        <v>59</v>
      </c>
      <c r="C28" s="114" t="s">
        <v>215</v>
      </c>
      <c r="D28" s="523">
        <v>1336</v>
      </c>
      <c r="E28" s="524">
        <v>400</v>
      </c>
      <c r="F28" s="498">
        <f>202.37*(KONSTTW)</f>
        <v>202.37</v>
      </c>
      <c r="G28" s="500"/>
      <c r="H28" s="515" t="s">
        <v>220</v>
      </c>
      <c r="I28" s="517" t="s">
        <v>294</v>
      </c>
      <c r="J28" s="513" t="s">
        <v>79</v>
      </c>
      <c r="K28" s="518">
        <v>1800</v>
      </c>
      <c r="L28" s="514">
        <v>500</v>
      </c>
      <c r="M28" s="513">
        <f>399.11*(KONSTTW)</f>
        <v>399.11</v>
      </c>
    </row>
    <row r="29" spans="1:13" x14ac:dyDescent="0.2">
      <c r="A29" s="118" t="s">
        <v>56</v>
      </c>
      <c r="B29" s="116" t="s">
        <v>60</v>
      </c>
      <c r="C29" s="114" t="s">
        <v>215</v>
      </c>
      <c r="D29" s="523">
        <v>1336</v>
      </c>
      <c r="E29" s="524">
        <v>500</v>
      </c>
      <c r="F29" s="498">
        <f>177.41*(KONSTTW)</f>
        <v>177.41</v>
      </c>
      <c r="G29" s="500"/>
      <c r="H29" s="515" t="s">
        <v>220</v>
      </c>
      <c r="I29" s="516" t="s">
        <v>295</v>
      </c>
      <c r="J29" s="513" t="s">
        <v>79</v>
      </c>
      <c r="K29" s="518">
        <v>1800</v>
      </c>
      <c r="L29" s="514">
        <v>600</v>
      </c>
      <c r="M29" s="513">
        <f>412.28*(KONSTTW)</f>
        <v>412.28</v>
      </c>
    </row>
    <row r="30" spans="1:13" x14ac:dyDescent="0.2">
      <c r="A30" s="118" t="s">
        <v>56</v>
      </c>
      <c r="B30" s="116" t="s">
        <v>61</v>
      </c>
      <c r="C30" s="114" t="s">
        <v>215</v>
      </c>
      <c r="D30" s="523">
        <v>1548</v>
      </c>
      <c r="E30" s="524">
        <v>500</v>
      </c>
      <c r="F30" s="498">
        <f>194.54*(KONSTTW)</f>
        <v>194.54</v>
      </c>
      <c r="G30" s="500"/>
      <c r="H30" s="515" t="s">
        <v>220</v>
      </c>
      <c r="I30" s="519" t="s">
        <v>296</v>
      </c>
      <c r="J30" s="513" t="s">
        <v>79</v>
      </c>
      <c r="K30" s="518">
        <v>1800</v>
      </c>
      <c r="L30" s="514">
        <v>750</v>
      </c>
      <c r="M30" s="513">
        <f>438.84*(KONSTTW)</f>
        <v>438.84</v>
      </c>
    </row>
    <row r="31" spans="1:13" x14ac:dyDescent="0.2">
      <c r="A31" s="118" t="s">
        <v>56</v>
      </c>
      <c r="B31" s="116" t="s">
        <v>398</v>
      </c>
      <c r="C31" s="114" t="s">
        <v>397</v>
      </c>
      <c r="D31" s="523">
        <v>1760</v>
      </c>
      <c r="E31" s="524">
        <v>500</v>
      </c>
      <c r="F31" s="498">
        <f>214.69*(KONSTTW)</f>
        <v>214.69</v>
      </c>
      <c r="G31" s="500"/>
      <c r="H31" s="512" t="s">
        <v>219</v>
      </c>
      <c r="I31" s="512" t="s">
        <v>297</v>
      </c>
      <c r="J31" s="512" t="s">
        <v>79</v>
      </c>
      <c r="K31" s="533">
        <v>1000</v>
      </c>
      <c r="L31" s="530">
        <v>600</v>
      </c>
      <c r="M31" s="512">
        <f>336.29*(KONSTTW)</f>
        <v>336.29</v>
      </c>
    </row>
    <row r="32" spans="1:13" x14ac:dyDescent="0.2">
      <c r="A32" s="118" t="s">
        <v>62</v>
      </c>
      <c r="B32" s="116" t="s">
        <v>63</v>
      </c>
      <c r="C32" s="116" t="s">
        <v>217</v>
      </c>
      <c r="D32" s="523">
        <v>700</v>
      </c>
      <c r="E32" s="524">
        <v>500</v>
      </c>
      <c r="F32" s="498">
        <f>185.66*(KONSTTW)</f>
        <v>185.66</v>
      </c>
      <c r="G32" s="500"/>
      <c r="H32" s="513" t="s">
        <v>219</v>
      </c>
      <c r="I32" s="513" t="s">
        <v>298</v>
      </c>
      <c r="J32" s="513" t="s">
        <v>79</v>
      </c>
      <c r="K32" s="518">
        <v>1300</v>
      </c>
      <c r="L32" s="514">
        <v>600</v>
      </c>
      <c r="M32" s="513">
        <f>373.65*(KONSTTW)</f>
        <v>373.65</v>
      </c>
    </row>
    <row r="33" spans="1:13" x14ac:dyDescent="0.2">
      <c r="A33" s="118" t="s">
        <v>62</v>
      </c>
      <c r="B33" s="116" t="s">
        <v>64</v>
      </c>
      <c r="C33" s="116" t="s">
        <v>217</v>
      </c>
      <c r="D33" s="523">
        <v>912</v>
      </c>
      <c r="E33" s="524">
        <v>500</v>
      </c>
      <c r="F33" s="498">
        <f>199.63*(KONSTTW)</f>
        <v>199.63</v>
      </c>
      <c r="G33" s="500"/>
      <c r="H33" s="513" t="s">
        <v>219</v>
      </c>
      <c r="I33" s="513" t="s">
        <v>299</v>
      </c>
      <c r="J33" s="513" t="s">
        <v>79</v>
      </c>
      <c r="K33" s="518">
        <v>1300</v>
      </c>
      <c r="L33" s="514">
        <v>750</v>
      </c>
      <c r="M33" s="513">
        <f>396.25*(KONSTTW)</f>
        <v>396.25</v>
      </c>
    </row>
    <row r="34" spans="1:13" x14ac:dyDescent="0.2">
      <c r="A34" s="118" t="s">
        <v>62</v>
      </c>
      <c r="B34" s="116" t="s">
        <v>65</v>
      </c>
      <c r="C34" s="116" t="s">
        <v>217</v>
      </c>
      <c r="D34" s="523">
        <v>1336</v>
      </c>
      <c r="E34" s="524">
        <v>400</v>
      </c>
      <c r="F34" s="498">
        <f>254.13*(KONSTTW)</f>
        <v>254.13</v>
      </c>
      <c r="G34" s="500"/>
      <c r="H34" s="513" t="s">
        <v>219</v>
      </c>
      <c r="I34" s="513" t="s">
        <v>300</v>
      </c>
      <c r="J34" s="513" t="s">
        <v>79</v>
      </c>
      <c r="K34" s="518">
        <v>1500</v>
      </c>
      <c r="L34" s="514">
        <v>600</v>
      </c>
      <c r="M34" s="513">
        <f>444.41*(KONSTTW)</f>
        <v>444.41</v>
      </c>
    </row>
    <row r="35" spans="1:13" x14ac:dyDescent="0.2">
      <c r="A35" s="118" t="s">
        <v>62</v>
      </c>
      <c r="B35" s="116" t="s">
        <v>66</v>
      </c>
      <c r="C35" s="116" t="s">
        <v>217</v>
      </c>
      <c r="D35" s="523">
        <v>1336</v>
      </c>
      <c r="E35" s="524">
        <v>500</v>
      </c>
      <c r="F35" s="498">
        <f>229.11*(KONSTTW)</f>
        <v>229.11</v>
      </c>
      <c r="G35" s="502"/>
      <c r="H35" s="513" t="s">
        <v>219</v>
      </c>
      <c r="I35" s="513" t="s">
        <v>301</v>
      </c>
      <c r="J35" s="513" t="s">
        <v>79</v>
      </c>
      <c r="K35" s="518">
        <v>1500</v>
      </c>
      <c r="L35" s="514">
        <v>750</v>
      </c>
      <c r="M35" s="513">
        <f>470.89*(KONSTTW)</f>
        <v>470.89</v>
      </c>
    </row>
    <row r="36" spans="1:13" x14ac:dyDescent="0.2">
      <c r="A36" s="121" t="s">
        <v>62</v>
      </c>
      <c r="B36" s="117" t="s">
        <v>167</v>
      </c>
      <c r="C36" s="116" t="s">
        <v>217</v>
      </c>
      <c r="D36" s="527">
        <v>1548</v>
      </c>
      <c r="E36" s="528">
        <v>500</v>
      </c>
      <c r="F36" s="496">
        <f>246.37*(KONSTTW)</f>
        <v>246.37</v>
      </c>
      <c r="G36" s="503"/>
      <c r="H36" s="513" t="s">
        <v>219</v>
      </c>
      <c r="I36" s="513" t="s">
        <v>302</v>
      </c>
      <c r="J36" s="513" t="s">
        <v>79</v>
      </c>
      <c r="K36" s="518">
        <v>1500</v>
      </c>
      <c r="L36" s="514">
        <v>900</v>
      </c>
      <c r="M36" s="513">
        <f>497.54*(KONSTTW)</f>
        <v>497.54</v>
      </c>
    </row>
    <row r="37" spans="1:13" x14ac:dyDescent="0.2">
      <c r="A37" s="537" t="s">
        <v>224</v>
      </c>
      <c r="B37" s="538" t="s">
        <v>313</v>
      </c>
      <c r="C37" s="537" t="s">
        <v>79</v>
      </c>
      <c r="D37" s="539">
        <v>500</v>
      </c>
      <c r="E37" s="540">
        <v>800</v>
      </c>
      <c r="F37" s="547">
        <f>179.19*(KONSTTW)</f>
        <v>179.19</v>
      </c>
      <c r="G37" s="504"/>
      <c r="H37" s="513" t="s">
        <v>219</v>
      </c>
      <c r="I37" s="515" t="s">
        <v>303</v>
      </c>
      <c r="J37" s="513" t="s">
        <v>79</v>
      </c>
      <c r="K37" s="520">
        <v>1800</v>
      </c>
      <c r="L37" s="514">
        <v>750</v>
      </c>
      <c r="M37" s="513">
        <f>499.51*(KONSTTW)</f>
        <v>499.51</v>
      </c>
    </row>
    <row r="38" spans="1:13" x14ac:dyDescent="0.2">
      <c r="A38" s="519" t="s">
        <v>224</v>
      </c>
      <c r="B38" s="118" t="s">
        <v>314</v>
      </c>
      <c r="C38" s="519" t="s">
        <v>79</v>
      </c>
      <c r="D38" s="541">
        <v>700</v>
      </c>
      <c r="E38" s="541">
        <v>1000</v>
      </c>
      <c r="F38" s="548">
        <f>212.75*(KONSTTW)</f>
        <v>212.75</v>
      </c>
      <c r="G38" s="504"/>
      <c r="H38" s="526" t="s">
        <v>219</v>
      </c>
      <c r="I38" s="531" t="s">
        <v>304</v>
      </c>
      <c r="J38" s="526" t="s">
        <v>79</v>
      </c>
      <c r="K38" s="534">
        <v>1800</v>
      </c>
      <c r="L38" s="532">
        <v>900</v>
      </c>
      <c r="M38" s="526">
        <f>526.56*(KONSTTW)</f>
        <v>526.55999999999995</v>
      </c>
    </row>
    <row r="39" spans="1:13" x14ac:dyDescent="0.2">
      <c r="A39" s="519" t="s">
        <v>224</v>
      </c>
      <c r="B39" s="519" t="s">
        <v>315</v>
      </c>
      <c r="C39" s="519" t="s">
        <v>79</v>
      </c>
      <c r="D39" s="523">
        <v>700</v>
      </c>
      <c r="E39" s="524">
        <v>1200</v>
      </c>
      <c r="F39" s="494">
        <f>229.21*(KONSTTW)</f>
        <v>229.21</v>
      </c>
      <c r="G39" s="505"/>
      <c r="H39" s="515" t="s">
        <v>305</v>
      </c>
      <c r="I39" s="515" t="s">
        <v>306</v>
      </c>
      <c r="J39" s="513" t="s">
        <v>79</v>
      </c>
      <c r="K39" s="520">
        <v>1600</v>
      </c>
      <c r="L39" s="514">
        <v>500</v>
      </c>
      <c r="M39" s="513">
        <f>444.41*(KONSTTW)</f>
        <v>444.41</v>
      </c>
    </row>
    <row r="40" spans="1:13" x14ac:dyDescent="0.2">
      <c r="A40" s="519" t="s">
        <v>224</v>
      </c>
      <c r="B40" s="519" t="s">
        <v>316</v>
      </c>
      <c r="C40" s="519" t="s">
        <v>79</v>
      </c>
      <c r="D40" s="523">
        <v>900</v>
      </c>
      <c r="E40" s="524">
        <v>500</v>
      </c>
      <c r="F40" s="494">
        <f>218.95*(KONSTTW)</f>
        <v>218.95</v>
      </c>
      <c r="G40" s="504"/>
      <c r="H40" s="515" t="s">
        <v>305</v>
      </c>
      <c r="I40" s="515" t="s">
        <v>307</v>
      </c>
      <c r="J40" s="513" t="s">
        <v>79</v>
      </c>
      <c r="K40" s="520">
        <v>1600</v>
      </c>
      <c r="L40" s="514">
        <v>800</v>
      </c>
      <c r="M40" s="513">
        <f>622.28*(KONSTTW)</f>
        <v>622.28</v>
      </c>
    </row>
    <row r="41" spans="1:13" x14ac:dyDescent="0.2">
      <c r="A41" s="519" t="s">
        <v>224</v>
      </c>
      <c r="B41" s="519" t="s">
        <v>317</v>
      </c>
      <c r="C41" s="519" t="s">
        <v>79</v>
      </c>
      <c r="D41" s="523">
        <v>1200</v>
      </c>
      <c r="E41" s="524">
        <v>500</v>
      </c>
      <c r="F41" s="543">
        <f>255.04*(KONSTTW)</f>
        <v>255.04</v>
      </c>
      <c r="G41" s="503"/>
      <c r="H41" s="515" t="s">
        <v>305</v>
      </c>
      <c r="I41" s="515" t="s">
        <v>308</v>
      </c>
      <c r="J41" s="513" t="s">
        <v>79</v>
      </c>
      <c r="K41" s="520">
        <v>1600</v>
      </c>
      <c r="L41" s="514">
        <v>1000</v>
      </c>
      <c r="M41" s="513">
        <f>744.13*(KONSTTW)</f>
        <v>744.13</v>
      </c>
    </row>
    <row r="42" spans="1:13" x14ac:dyDescent="0.2">
      <c r="A42" s="519" t="s">
        <v>224</v>
      </c>
      <c r="B42" s="519" t="s">
        <v>318</v>
      </c>
      <c r="C42" s="519" t="s">
        <v>79</v>
      </c>
      <c r="D42" s="523">
        <v>1650</v>
      </c>
      <c r="E42" s="524">
        <v>500</v>
      </c>
      <c r="F42" s="543">
        <f>311.37*(KONSTTW)</f>
        <v>311.37</v>
      </c>
      <c r="G42" s="504"/>
      <c r="H42" s="515" t="s">
        <v>305</v>
      </c>
      <c r="I42" s="515" t="s">
        <v>309</v>
      </c>
      <c r="J42" s="513" t="s">
        <v>79</v>
      </c>
      <c r="K42" s="520">
        <v>1800</v>
      </c>
      <c r="L42" s="514">
        <v>500</v>
      </c>
      <c r="M42" s="513">
        <f>456.47*(KONSTTW)</f>
        <v>456.47</v>
      </c>
    </row>
    <row r="43" spans="1:13" x14ac:dyDescent="0.2">
      <c r="A43" s="519" t="s">
        <v>224</v>
      </c>
      <c r="B43" s="519" t="s">
        <v>319</v>
      </c>
      <c r="C43" s="519" t="s">
        <v>79</v>
      </c>
      <c r="D43" s="523">
        <v>1700</v>
      </c>
      <c r="E43" s="524">
        <v>600</v>
      </c>
      <c r="F43" s="543">
        <f>326.07*(KONSTTW)</f>
        <v>326.07</v>
      </c>
      <c r="G43" s="506"/>
      <c r="H43" s="515" t="s">
        <v>305</v>
      </c>
      <c r="I43" s="513" t="s">
        <v>310</v>
      </c>
      <c r="J43" s="513" t="s">
        <v>79</v>
      </c>
      <c r="K43" s="520">
        <v>1800</v>
      </c>
      <c r="L43" s="514">
        <v>800</v>
      </c>
      <c r="M43" s="513">
        <f>632.71*(KONSTTW)</f>
        <v>632.71</v>
      </c>
    </row>
    <row r="44" spans="1:13" x14ac:dyDescent="0.2">
      <c r="A44" s="519" t="s">
        <v>224</v>
      </c>
      <c r="B44" s="519" t="s">
        <v>320</v>
      </c>
      <c r="C44" s="519" t="s">
        <v>79</v>
      </c>
      <c r="D44" s="523">
        <v>1700</v>
      </c>
      <c r="E44" s="524">
        <v>800</v>
      </c>
      <c r="F44" s="543">
        <f>347.76*(KONSTTW)</f>
        <v>347.76</v>
      </c>
      <c r="G44" s="506"/>
      <c r="H44" s="515" t="s">
        <v>305</v>
      </c>
      <c r="I44" s="513" t="s">
        <v>311</v>
      </c>
      <c r="J44" s="513" t="s">
        <v>79</v>
      </c>
      <c r="K44" s="520">
        <v>1800</v>
      </c>
      <c r="L44" s="514">
        <v>1000</v>
      </c>
      <c r="M44" s="513">
        <f>764.57*(KONSTTW)</f>
        <v>764.57</v>
      </c>
    </row>
    <row r="45" spans="1:13" x14ac:dyDescent="0.2">
      <c r="A45" s="545" t="s">
        <v>224</v>
      </c>
      <c r="B45" s="545" t="s">
        <v>321</v>
      </c>
      <c r="C45" s="545" t="s">
        <v>79</v>
      </c>
      <c r="D45" s="527">
        <v>2000</v>
      </c>
      <c r="E45" s="528">
        <v>800</v>
      </c>
      <c r="F45" s="546">
        <f>406.78*(KONSTTW)</f>
        <v>406.78</v>
      </c>
      <c r="G45" s="506"/>
      <c r="H45" s="515" t="s">
        <v>305</v>
      </c>
      <c r="I45" s="521" t="s">
        <v>312</v>
      </c>
      <c r="J45" s="513" t="s">
        <v>79</v>
      </c>
      <c r="K45" s="520">
        <v>1800</v>
      </c>
      <c r="L45" s="514">
        <v>1200</v>
      </c>
      <c r="M45" s="513">
        <f>892.87*(KONSTTW)</f>
        <v>892.87</v>
      </c>
    </row>
    <row r="46" spans="1:13" x14ac:dyDescent="0.2">
      <c r="A46" s="519" t="s">
        <v>218</v>
      </c>
      <c r="B46" s="519" t="s">
        <v>328</v>
      </c>
      <c r="C46" s="519" t="s">
        <v>79</v>
      </c>
      <c r="D46" s="523">
        <v>714</v>
      </c>
      <c r="E46" s="524">
        <v>400</v>
      </c>
      <c r="F46" s="542">
        <f>62.32*(KONSTTW)</f>
        <v>62.32</v>
      </c>
      <c r="G46" s="500"/>
      <c r="H46" s="535" t="s">
        <v>223</v>
      </c>
      <c r="I46" s="535" t="s">
        <v>322</v>
      </c>
      <c r="J46" s="512" t="s">
        <v>79</v>
      </c>
      <c r="K46" s="533">
        <v>830</v>
      </c>
      <c r="L46" s="530">
        <v>450</v>
      </c>
      <c r="M46" s="512">
        <f>337.93*(KONSTTW)</f>
        <v>337.93</v>
      </c>
    </row>
    <row r="47" spans="1:13" x14ac:dyDescent="0.2">
      <c r="A47" s="519" t="s">
        <v>218</v>
      </c>
      <c r="B47" s="519" t="s">
        <v>329</v>
      </c>
      <c r="C47" s="519" t="s">
        <v>79</v>
      </c>
      <c r="D47" s="523">
        <v>714</v>
      </c>
      <c r="E47" s="524">
        <v>500</v>
      </c>
      <c r="F47" s="542">
        <f>67.93*(KONSTTW)</f>
        <v>67.930000000000007</v>
      </c>
      <c r="G47" s="500"/>
      <c r="H47" s="521" t="s">
        <v>223</v>
      </c>
      <c r="I47" s="521" t="s">
        <v>323</v>
      </c>
      <c r="J47" s="513" t="s">
        <v>79</v>
      </c>
      <c r="K47" s="520">
        <v>1130</v>
      </c>
      <c r="L47" s="514">
        <v>450</v>
      </c>
      <c r="M47" s="513">
        <f>407.43*(KONSTTW)</f>
        <v>407.43</v>
      </c>
    </row>
    <row r="48" spans="1:13" x14ac:dyDescent="0.2">
      <c r="A48" s="519" t="s">
        <v>218</v>
      </c>
      <c r="B48" s="519" t="s">
        <v>330</v>
      </c>
      <c r="C48" s="519" t="s">
        <v>79</v>
      </c>
      <c r="D48" s="523">
        <v>714</v>
      </c>
      <c r="E48" s="524">
        <v>600</v>
      </c>
      <c r="F48" s="543">
        <f>72.36*(KONSTTW)</f>
        <v>72.36</v>
      </c>
      <c r="G48" s="500"/>
      <c r="H48" s="521" t="s">
        <v>223</v>
      </c>
      <c r="I48" s="521" t="s">
        <v>324</v>
      </c>
      <c r="J48" s="513" t="s">
        <v>79</v>
      </c>
      <c r="K48" s="520">
        <v>1130</v>
      </c>
      <c r="L48" s="514">
        <v>600</v>
      </c>
      <c r="M48" s="522">
        <f>422.4*(KONSTTW)</f>
        <v>422.4</v>
      </c>
    </row>
    <row r="49" spans="1:13" x14ac:dyDescent="0.2">
      <c r="A49" s="519" t="s">
        <v>218</v>
      </c>
      <c r="B49" s="519" t="s">
        <v>331</v>
      </c>
      <c r="C49" s="519" t="s">
        <v>79</v>
      </c>
      <c r="D49" s="523">
        <v>714</v>
      </c>
      <c r="E49" s="524">
        <v>750</v>
      </c>
      <c r="F49" s="543">
        <f>77.84*(KONSTTW)</f>
        <v>77.84</v>
      </c>
      <c r="G49" s="500"/>
      <c r="H49" s="521" t="s">
        <v>223</v>
      </c>
      <c r="I49" s="521" t="s">
        <v>325</v>
      </c>
      <c r="J49" s="513" t="s">
        <v>79</v>
      </c>
      <c r="K49" s="520">
        <v>1430</v>
      </c>
      <c r="L49" s="514">
        <v>450</v>
      </c>
      <c r="M49" s="522">
        <f>476.3*(KONSTTW)</f>
        <v>476.3</v>
      </c>
    </row>
    <row r="50" spans="1:13" x14ac:dyDescent="0.2">
      <c r="A50" s="519" t="s">
        <v>218</v>
      </c>
      <c r="B50" s="519" t="s">
        <v>332</v>
      </c>
      <c r="C50" s="519" t="s">
        <v>79</v>
      </c>
      <c r="D50" s="523">
        <v>1134</v>
      </c>
      <c r="E50" s="524">
        <v>900</v>
      </c>
      <c r="F50" s="544">
        <f>83.05*(KONSTTW)</f>
        <v>83.05</v>
      </c>
      <c r="G50" s="500"/>
      <c r="H50" s="521" t="s">
        <v>223</v>
      </c>
      <c r="I50" s="521" t="s">
        <v>326</v>
      </c>
      <c r="J50" s="513" t="s">
        <v>79</v>
      </c>
      <c r="K50" s="520">
        <v>1430</v>
      </c>
      <c r="L50" s="514">
        <v>600</v>
      </c>
      <c r="M50" s="522">
        <f>494.92*(KONSTTW)</f>
        <v>494.92</v>
      </c>
    </row>
    <row r="51" spans="1:13" x14ac:dyDescent="0.2">
      <c r="A51" s="519" t="s">
        <v>218</v>
      </c>
      <c r="B51" s="519" t="s">
        <v>333</v>
      </c>
      <c r="C51" s="519" t="s">
        <v>79</v>
      </c>
      <c r="D51" s="523">
        <v>1134</v>
      </c>
      <c r="E51" s="524">
        <v>400</v>
      </c>
      <c r="F51" s="544">
        <f>77.84*(KONSTTW)</f>
        <v>77.84</v>
      </c>
      <c r="G51" s="500"/>
      <c r="H51" s="525" t="s">
        <v>223</v>
      </c>
      <c r="I51" s="525" t="s">
        <v>327</v>
      </c>
      <c r="J51" s="526" t="s">
        <v>79</v>
      </c>
      <c r="K51" s="536">
        <v>1730</v>
      </c>
      <c r="L51" s="532">
        <v>600</v>
      </c>
      <c r="M51" s="529">
        <f>567.49*(KONSTTW)</f>
        <v>567.49</v>
      </c>
    </row>
    <row r="52" spans="1:13" x14ac:dyDescent="0.2">
      <c r="A52" s="519" t="s">
        <v>218</v>
      </c>
      <c r="B52" s="519" t="s">
        <v>334</v>
      </c>
      <c r="C52" s="519" t="s">
        <v>79</v>
      </c>
      <c r="D52" s="523">
        <v>1134</v>
      </c>
      <c r="E52" s="524">
        <v>500</v>
      </c>
      <c r="F52" s="494">
        <f>85.53*(KONSTTW)</f>
        <v>85.53</v>
      </c>
      <c r="G52" s="507"/>
      <c r="H52" s="521" t="s">
        <v>395</v>
      </c>
      <c r="I52" s="521" t="s">
        <v>346</v>
      </c>
      <c r="J52" s="513"/>
      <c r="K52" s="523">
        <v>714</v>
      </c>
      <c r="L52" s="524">
        <v>400</v>
      </c>
      <c r="M52" s="522">
        <f>67.28*(KONSTTW)</f>
        <v>67.28</v>
      </c>
    </row>
    <row r="53" spans="1:13" x14ac:dyDescent="0.2">
      <c r="A53" s="519" t="s">
        <v>218</v>
      </c>
      <c r="B53" s="519" t="s">
        <v>335</v>
      </c>
      <c r="C53" s="519" t="s">
        <v>79</v>
      </c>
      <c r="D53" s="523">
        <v>1134</v>
      </c>
      <c r="E53" s="524">
        <v>600</v>
      </c>
      <c r="F53" s="498">
        <f>90.09*(KONSTTW)</f>
        <v>90.09</v>
      </c>
      <c r="G53" s="507"/>
      <c r="H53" s="521" t="s">
        <v>395</v>
      </c>
      <c r="I53" s="521" t="s">
        <v>347</v>
      </c>
      <c r="J53" s="513"/>
      <c r="K53" s="523">
        <v>714</v>
      </c>
      <c r="L53" s="524">
        <v>500</v>
      </c>
      <c r="M53" s="522">
        <f>73.79*(KONSTTW)</f>
        <v>73.790000000000006</v>
      </c>
    </row>
    <row r="54" spans="1:13" x14ac:dyDescent="0.2">
      <c r="A54" s="519" t="s">
        <v>218</v>
      </c>
      <c r="B54" s="519" t="s">
        <v>336</v>
      </c>
      <c r="C54" s="519" t="s">
        <v>79</v>
      </c>
      <c r="D54" s="523">
        <v>1134</v>
      </c>
      <c r="E54" s="524">
        <v>750</v>
      </c>
      <c r="F54" s="498">
        <f>94.53*(KONSTTW)</f>
        <v>94.53</v>
      </c>
      <c r="G54" s="507"/>
      <c r="H54" s="521" t="s">
        <v>395</v>
      </c>
      <c r="I54" s="521" t="s">
        <v>348</v>
      </c>
      <c r="J54" s="513"/>
      <c r="K54" s="523">
        <v>714</v>
      </c>
      <c r="L54" s="524">
        <v>600</v>
      </c>
      <c r="M54" s="522">
        <f>78.62*(KONSTTW)</f>
        <v>78.62</v>
      </c>
    </row>
    <row r="55" spans="1:13" x14ac:dyDescent="0.2">
      <c r="A55" s="519" t="s">
        <v>218</v>
      </c>
      <c r="B55" s="519" t="s">
        <v>337</v>
      </c>
      <c r="C55" s="519" t="s">
        <v>79</v>
      </c>
      <c r="D55" s="523">
        <v>1134</v>
      </c>
      <c r="E55" s="524">
        <v>900</v>
      </c>
      <c r="F55" s="498">
        <f>108.74*(KONSTTW)</f>
        <v>108.74</v>
      </c>
      <c r="G55" s="493"/>
      <c r="H55" s="521" t="s">
        <v>395</v>
      </c>
      <c r="I55" s="521" t="s">
        <v>349</v>
      </c>
      <c r="J55" s="513"/>
      <c r="K55" s="523">
        <v>714</v>
      </c>
      <c r="L55" s="524">
        <v>750</v>
      </c>
      <c r="M55" s="522">
        <f>84.23*(KONSTTW)</f>
        <v>84.23</v>
      </c>
    </row>
    <row r="56" spans="1:13" x14ac:dyDescent="0.2">
      <c r="A56" s="519" t="s">
        <v>218</v>
      </c>
      <c r="B56" s="519" t="s">
        <v>338</v>
      </c>
      <c r="C56" s="519" t="s">
        <v>79</v>
      </c>
      <c r="D56" s="523">
        <v>1470</v>
      </c>
      <c r="E56" s="524">
        <v>500</v>
      </c>
      <c r="F56" s="494">
        <f>114.86*(KONSTTW)</f>
        <v>114.86</v>
      </c>
      <c r="G56" s="493"/>
      <c r="H56" s="521" t="s">
        <v>395</v>
      </c>
      <c r="I56" s="521" t="s">
        <v>350</v>
      </c>
      <c r="J56" s="513"/>
      <c r="K56" s="523">
        <v>1134</v>
      </c>
      <c r="L56" s="524">
        <v>900</v>
      </c>
      <c r="M56" s="522">
        <f>90.09*(KONSTTW)</f>
        <v>90.09</v>
      </c>
    </row>
    <row r="57" spans="1:13" x14ac:dyDescent="0.2">
      <c r="A57" s="519" t="s">
        <v>218</v>
      </c>
      <c r="B57" s="519" t="s">
        <v>339</v>
      </c>
      <c r="C57" s="519" t="s">
        <v>79</v>
      </c>
      <c r="D57" s="523">
        <v>1470</v>
      </c>
      <c r="E57" s="524">
        <v>600</v>
      </c>
      <c r="F57" s="498">
        <f>123.73*(KONSTTW)</f>
        <v>123.73</v>
      </c>
      <c r="G57" s="508"/>
      <c r="H57" s="521" t="s">
        <v>395</v>
      </c>
      <c r="I57" s="513" t="s">
        <v>351</v>
      </c>
      <c r="J57" s="513"/>
      <c r="K57" s="523">
        <v>1134</v>
      </c>
      <c r="L57" s="524">
        <v>400</v>
      </c>
      <c r="M57" s="522">
        <f>83.83*(KONSTTW)</f>
        <v>83.83</v>
      </c>
    </row>
    <row r="58" spans="1:13" x14ac:dyDescent="0.2">
      <c r="A58" s="519" t="s">
        <v>218</v>
      </c>
      <c r="B58" s="519" t="s">
        <v>340</v>
      </c>
      <c r="C58" s="519" t="s">
        <v>79</v>
      </c>
      <c r="D58" s="523">
        <v>1470</v>
      </c>
      <c r="E58" s="524">
        <v>750</v>
      </c>
      <c r="F58" s="498">
        <f>128.16*(KONSTTW)</f>
        <v>128.16</v>
      </c>
      <c r="G58" s="508"/>
      <c r="H58" s="521" t="s">
        <v>395</v>
      </c>
      <c r="I58" s="513" t="s">
        <v>352</v>
      </c>
      <c r="J58" s="513"/>
      <c r="K58" s="523">
        <v>1134</v>
      </c>
      <c r="L58" s="524">
        <v>500</v>
      </c>
      <c r="M58" s="522">
        <f>92.83*(KONSTTW)</f>
        <v>92.83</v>
      </c>
    </row>
    <row r="59" spans="1:13" x14ac:dyDescent="0.2">
      <c r="A59" s="519" t="s">
        <v>218</v>
      </c>
      <c r="B59" s="519" t="s">
        <v>341</v>
      </c>
      <c r="C59" s="519" t="s">
        <v>79</v>
      </c>
      <c r="D59" s="523">
        <v>1470</v>
      </c>
      <c r="E59" s="524">
        <v>900</v>
      </c>
      <c r="F59" s="498">
        <f>139.25*(KONSTTW)</f>
        <v>139.25</v>
      </c>
      <c r="G59" s="508"/>
      <c r="H59" s="521" t="s">
        <v>395</v>
      </c>
      <c r="I59" s="513" t="s">
        <v>353</v>
      </c>
      <c r="J59" s="513"/>
      <c r="K59" s="523">
        <v>1134</v>
      </c>
      <c r="L59" s="524">
        <v>600</v>
      </c>
      <c r="M59" s="522">
        <f>97.65*(KONSTTW)</f>
        <v>97.65</v>
      </c>
    </row>
    <row r="60" spans="1:13" x14ac:dyDescent="0.2">
      <c r="A60" s="519" t="s">
        <v>218</v>
      </c>
      <c r="B60" s="519" t="s">
        <v>342</v>
      </c>
      <c r="C60" s="519" t="s">
        <v>79</v>
      </c>
      <c r="D60" s="523">
        <v>1764</v>
      </c>
      <c r="E60" s="524">
        <v>500</v>
      </c>
      <c r="F60" s="498">
        <f>127.9*(KONSTTW)</f>
        <v>127.9</v>
      </c>
      <c r="G60" s="508"/>
      <c r="H60" s="521" t="s">
        <v>395</v>
      </c>
      <c r="I60" s="513" t="s">
        <v>354</v>
      </c>
      <c r="J60" s="513"/>
      <c r="K60" s="523">
        <v>1134</v>
      </c>
      <c r="L60" s="524">
        <v>750</v>
      </c>
      <c r="M60" s="522">
        <f>102.35*(KONSTTW)</f>
        <v>102.35</v>
      </c>
    </row>
    <row r="61" spans="1:13" x14ac:dyDescent="0.2">
      <c r="A61" s="519" t="s">
        <v>218</v>
      </c>
      <c r="B61" s="519" t="s">
        <v>343</v>
      </c>
      <c r="C61" s="519" t="s">
        <v>79</v>
      </c>
      <c r="D61" s="523">
        <v>1764</v>
      </c>
      <c r="E61" s="524">
        <v>600</v>
      </c>
      <c r="F61" s="498">
        <f>143.55*(KONSTTW)</f>
        <v>143.55000000000001</v>
      </c>
      <c r="G61" s="508"/>
      <c r="H61" s="521" t="s">
        <v>395</v>
      </c>
      <c r="I61" s="513" t="s">
        <v>355</v>
      </c>
      <c r="J61" s="513"/>
      <c r="K61" s="523">
        <v>1134</v>
      </c>
      <c r="L61" s="524">
        <v>900</v>
      </c>
      <c r="M61" s="522">
        <f>118.38*(KONSTTW)</f>
        <v>118.38</v>
      </c>
    </row>
    <row r="62" spans="1:13" x14ac:dyDescent="0.2">
      <c r="A62" s="519" t="s">
        <v>218</v>
      </c>
      <c r="B62" s="519" t="s">
        <v>344</v>
      </c>
      <c r="C62" s="519" t="s">
        <v>79</v>
      </c>
      <c r="D62" s="523">
        <v>1764</v>
      </c>
      <c r="E62" s="524">
        <v>750</v>
      </c>
      <c r="F62" s="498">
        <f>154.37*(KONSTTW)</f>
        <v>154.37</v>
      </c>
      <c r="G62" s="508"/>
      <c r="H62" s="521" t="s">
        <v>395</v>
      </c>
      <c r="I62" s="513" t="s">
        <v>356</v>
      </c>
      <c r="J62" s="513"/>
      <c r="K62" s="523">
        <v>1470</v>
      </c>
      <c r="L62" s="524">
        <v>500</v>
      </c>
      <c r="M62" s="522">
        <f>124.77*(KONSTTW)</f>
        <v>124.77</v>
      </c>
    </row>
    <row r="63" spans="1:13" x14ac:dyDescent="0.2">
      <c r="A63" s="545" t="s">
        <v>218</v>
      </c>
      <c r="B63" s="545" t="s">
        <v>345</v>
      </c>
      <c r="C63" s="545" t="s">
        <v>79</v>
      </c>
      <c r="D63" s="527">
        <v>1764</v>
      </c>
      <c r="E63" s="528">
        <v>900</v>
      </c>
      <c r="F63" s="498">
        <f>165.32*(KONSTTW)</f>
        <v>165.32</v>
      </c>
      <c r="G63" s="508"/>
      <c r="H63" s="521" t="s">
        <v>395</v>
      </c>
      <c r="I63" s="513" t="s">
        <v>363</v>
      </c>
      <c r="J63" s="513"/>
      <c r="K63" s="523">
        <v>1470</v>
      </c>
      <c r="L63" s="524">
        <v>600</v>
      </c>
      <c r="M63" s="522">
        <f>133.12*(KONSTTW)</f>
        <v>133.12</v>
      </c>
    </row>
    <row r="64" spans="1:13" x14ac:dyDescent="0.2">
      <c r="A64" s="512" t="s">
        <v>221</v>
      </c>
      <c r="B64" s="512" t="s">
        <v>276</v>
      </c>
      <c r="C64" s="512" t="s">
        <v>79</v>
      </c>
      <c r="D64" s="530">
        <v>1200</v>
      </c>
      <c r="E64" s="530">
        <v>500</v>
      </c>
      <c r="F64" s="490">
        <f>396.25*(KONSTTW)</f>
        <v>396.25</v>
      </c>
      <c r="G64" s="508"/>
      <c r="H64" s="521" t="s">
        <v>395</v>
      </c>
      <c r="I64" s="513" t="s">
        <v>357</v>
      </c>
      <c r="J64" s="513"/>
      <c r="K64" s="523">
        <v>1470</v>
      </c>
      <c r="L64" s="524">
        <v>750</v>
      </c>
      <c r="M64" s="522">
        <f>139.25*(KONSTTW)</f>
        <v>139.25</v>
      </c>
    </row>
    <row r="65" spans="1:13" x14ac:dyDescent="0.2">
      <c r="A65" s="513" t="s">
        <v>221</v>
      </c>
      <c r="B65" s="513" t="s">
        <v>277</v>
      </c>
      <c r="C65" s="513" t="s">
        <v>79</v>
      </c>
      <c r="D65" s="514">
        <v>1200</v>
      </c>
      <c r="E65" s="514">
        <v>600</v>
      </c>
      <c r="F65" s="498">
        <f>407.8*(KONSTTW)</f>
        <v>407.8</v>
      </c>
      <c r="G65" s="508"/>
      <c r="H65" s="521" t="s">
        <v>395</v>
      </c>
      <c r="I65" s="513" t="s">
        <v>358</v>
      </c>
      <c r="J65" s="513"/>
      <c r="K65" s="523">
        <v>1470</v>
      </c>
      <c r="L65" s="524">
        <v>900</v>
      </c>
      <c r="M65" s="522">
        <f>148.11*(KONSTTW)</f>
        <v>148.11000000000001</v>
      </c>
    </row>
    <row r="66" spans="1:13" x14ac:dyDescent="0.2">
      <c r="A66" s="513" t="s">
        <v>221</v>
      </c>
      <c r="B66" s="513" t="s">
        <v>278</v>
      </c>
      <c r="C66" s="513" t="s">
        <v>79</v>
      </c>
      <c r="D66" s="514">
        <v>1200</v>
      </c>
      <c r="E66" s="514">
        <v>750</v>
      </c>
      <c r="F66" s="498">
        <f>425.89*(KONSTTW)</f>
        <v>425.89</v>
      </c>
      <c r="G66" s="508"/>
      <c r="H66" s="521" t="s">
        <v>395</v>
      </c>
      <c r="I66" s="513" t="s">
        <v>359</v>
      </c>
      <c r="J66" s="513"/>
      <c r="K66" s="523">
        <v>1764</v>
      </c>
      <c r="L66" s="524">
        <v>500</v>
      </c>
      <c r="M66" s="522">
        <f>138.72*(KONSTTW)</f>
        <v>138.72</v>
      </c>
    </row>
    <row r="67" spans="1:13" x14ac:dyDescent="0.2">
      <c r="A67" s="513" t="s">
        <v>221</v>
      </c>
      <c r="B67" s="513" t="s">
        <v>279</v>
      </c>
      <c r="C67" s="513" t="s">
        <v>79</v>
      </c>
      <c r="D67" s="514">
        <v>1200</v>
      </c>
      <c r="E67" s="514">
        <v>900</v>
      </c>
      <c r="F67" s="498">
        <f>450.49*(KONSTTW)</f>
        <v>450.49</v>
      </c>
      <c r="G67" s="508"/>
      <c r="H67" s="521" t="s">
        <v>395</v>
      </c>
      <c r="I67" s="513" t="s">
        <v>360</v>
      </c>
      <c r="J67" s="513"/>
      <c r="K67" s="523">
        <v>1764</v>
      </c>
      <c r="L67" s="524">
        <v>600</v>
      </c>
      <c r="M67" s="522">
        <f>155.67*(KONSTTW)</f>
        <v>155.66999999999999</v>
      </c>
    </row>
    <row r="68" spans="1:13" x14ac:dyDescent="0.2">
      <c r="A68" s="513" t="s">
        <v>221</v>
      </c>
      <c r="B68" s="515" t="s">
        <v>280</v>
      </c>
      <c r="C68" s="513" t="s">
        <v>79</v>
      </c>
      <c r="D68" s="514">
        <v>1800</v>
      </c>
      <c r="E68" s="514">
        <v>500</v>
      </c>
      <c r="F68" s="498">
        <f>508.31*(KONSTTW)</f>
        <v>508.31</v>
      </c>
      <c r="G68" s="508"/>
      <c r="H68" s="521" t="s">
        <v>395</v>
      </c>
      <c r="I68" s="513" t="s">
        <v>361</v>
      </c>
      <c r="J68" s="513"/>
      <c r="K68" s="523">
        <v>1764</v>
      </c>
      <c r="L68" s="524">
        <v>750</v>
      </c>
      <c r="M68" s="522">
        <f>168.45*(KONSTTW)</f>
        <v>168.45</v>
      </c>
    </row>
    <row r="69" spans="1:13" x14ac:dyDescent="0.2">
      <c r="A69" s="513" t="s">
        <v>221</v>
      </c>
      <c r="B69" s="515" t="s">
        <v>281</v>
      </c>
      <c r="C69" s="513" t="s">
        <v>79</v>
      </c>
      <c r="D69" s="514">
        <v>1800</v>
      </c>
      <c r="E69" s="514">
        <v>600</v>
      </c>
      <c r="F69" s="498">
        <f>523.69*(KONSTTW)</f>
        <v>523.69000000000005</v>
      </c>
      <c r="G69" s="493"/>
      <c r="H69" s="525" t="s">
        <v>395</v>
      </c>
      <c r="I69" s="526" t="s">
        <v>362</v>
      </c>
      <c r="J69" s="526"/>
      <c r="K69" s="527">
        <v>1764</v>
      </c>
      <c r="L69" s="528">
        <v>900</v>
      </c>
      <c r="M69" s="529">
        <f>211.74*(KONSTTW)</f>
        <v>211.74</v>
      </c>
    </row>
    <row r="70" spans="1:13" x14ac:dyDescent="0.2">
      <c r="A70" s="513" t="s">
        <v>221</v>
      </c>
      <c r="B70" s="515" t="s">
        <v>282</v>
      </c>
      <c r="C70" s="513" t="s">
        <v>79</v>
      </c>
      <c r="D70" s="514">
        <v>1800</v>
      </c>
      <c r="E70" s="514">
        <v>750</v>
      </c>
      <c r="F70" s="498">
        <f>547.03*(KONSTTW)</f>
        <v>547.03</v>
      </c>
      <c r="G70" s="493"/>
      <c r="H70" s="132" t="s">
        <v>184</v>
      </c>
      <c r="L70" s="489" t="s">
        <v>267</v>
      </c>
      <c r="M70" s="509">
        <f>71.86*(KONSTTW)</f>
        <v>71.86</v>
      </c>
    </row>
    <row r="71" spans="1:13" x14ac:dyDescent="0.2">
      <c r="A71" s="513" t="s">
        <v>221</v>
      </c>
      <c r="B71" s="515" t="s">
        <v>283</v>
      </c>
      <c r="C71" s="513" t="s">
        <v>79</v>
      </c>
      <c r="D71" s="514">
        <v>1800</v>
      </c>
      <c r="E71" s="514">
        <v>900</v>
      </c>
      <c r="F71" s="498">
        <f>579.6*(KONSTTW)</f>
        <v>579.6</v>
      </c>
      <c r="G71" s="493"/>
    </row>
    <row r="72" spans="1:13" x14ac:dyDescent="0.2">
      <c r="A72" s="513" t="s">
        <v>221</v>
      </c>
      <c r="B72" s="515" t="s">
        <v>284</v>
      </c>
      <c r="C72" s="513" t="s">
        <v>79</v>
      </c>
      <c r="D72" s="514">
        <v>2200</v>
      </c>
      <c r="E72" s="514">
        <v>500</v>
      </c>
      <c r="F72" s="498">
        <f>572.73*(KONSTTW)</f>
        <v>572.73</v>
      </c>
      <c r="G72" s="493"/>
    </row>
    <row r="73" spans="1:13" x14ac:dyDescent="0.2">
      <c r="A73" s="513" t="s">
        <v>221</v>
      </c>
      <c r="B73" s="515" t="s">
        <v>287</v>
      </c>
      <c r="C73" s="513" t="s">
        <v>79</v>
      </c>
      <c r="D73" s="514">
        <v>2200</v>
      </c>
      <c r="E73" s="514">
        <v>600</v>
      </c>
      <c r="F73" s="498">
        <f>591.29*(KONSTTW)</f>
        <v>591.29</v>
      </c>
      <c r="G73" s="493"/>
    </row>
    <row r="74" spans="1:13" x14ac:dyDescent="0.2">
      <c r="A74" s="513" t="s">
        <v>221</v>
      </c>
      <c r="B74" s="515" t="s">
        <v>286</v>
      </c>
      <c r="C74" s="513" t="s">
        <v>79</v>
      </c>
      <c r="D74" s="514">
        <v>2200</v>
      </c>
      <c r="E74" s="514">
        <v>750</v>
      </c>
      <c r="F74" s="498">
        <f>618.14*(KONSTTW)</f>
        <v>618.14</v>
      </c>
      <c r="G74" s="493"/>
    </row>
    <row r="75" spans="1:13" x14ac:dyDescent="0.2">
      <c r="A75" s="526" t="s">
        <v>221</v>
      </c>
      <c r="B75" s="531" t="s">
        <v>285</v>
      </c>
      <c r="C75" s="526" t="s">
        <v>79</v>
      </c>
      <c r="D75" s="532">
        <v>2200</v>
      </c>
      <c r="E75" s="532">
        <v>900</v>
      </c>
      <c r="F75" s="501">
        <f>790.74*(KONSTTW)</f>
        <v>790.74</v>
      </c>
      <c r="G75" s="49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topLeftCell="A5" zoomScale="130" zoomScaleNormal="130" workbookViewId="0">
      <pane ySplit="660" activePane="bottomLeft"/>
      <selection activeCell="F5" sqref="F5"/>
      <selection pane="bottomLeft" activeCell="F4" sqref="F4"/>
    </sheetView>
  </sheetViews>
  <sheetFormatPr defaultRowHeight="12.75" x14ac:dyDescent="0.2"/>
  <cols>
    <col min="1" max="1" width="7.7109375" customWidth="1"/>
    <col min="2" max="2" width="9.28515625" customWidth="1"/>
    <col min="3" max="5" width="7.7109375" customWidth="1"/>
    <col min="6" max="6" width="9" customWidth="1"/>
    <col min="7" max="10" width="7.7109375" customWidth="1"/>
    <col min="11" max="11" width="7.85546875" customWidth="1"/>
  </cols>
  <sheetData>
    <row r="1" spans="1:41" ht="19.5" x14ac:dyDescent="0.25">
      <c r="A1" s="721" t="s">
        <v>231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</row>
    <row r="2" spans="1:41" x14ac:dyDescent="0.2">
      <c r="A2" s="202" t="s">
        <v>416</v>
      </c>
      <c r="B2" s="181"/>
      <c r="C2" s="181"/>
      <c r="D2" s="181"/>
      <c r="E2" s="181"/>
      <c r="F2" s="182"/>
      <c r="G2" s="182"/>
      <c r="H2" s="182"/>
      <c r="I2" s="182"/>
      <c r="J2" s="183"/>
      <c r="K2" s="183"/>
    </row>
    <row r="3" spans="1:41" x14ac:dyDescent="0.2">
      <c r="A3" s="180"/>
      <c r="B3" s="181"/>
      <c r="C3" s="181"/>
      <c r="D3" s="181"/>
      <c r="E3" s="181"/>
      <c r="F3" s="182"/>
      <c r="G3" s="182"/>
      <c r="H3" s="182"/>
      <c r="I3" s="182"/>
      <c r="J3" s="183"/>
      <c r="K3" s="183"/>
    </row>
    <row r="4" spans="1:41" x14ac:dyDescent="0.2">
      <c r="A4" s="180"/>
      <c r="B4" s="181"/>
      <c r="C4" s="10"/>
      <c r="D4" s="10"/>
      <c r="E4" s="184" t="s">
        <v>172</v>
      </c>
      <c r="F4" s="200">
        <v>0</v>
      </c>
      <c r="G4" s="182"/>
      <c r="H4" s="182"/>
      <c r="I4" s="182"/>
      <c r="J4" s="183"/>
      <c r="K4" s="183"/>
    </row>
    <row r="5" spans="1:41" x14ac:dyDescent="0.2">
      <c r="A5" s="180"/>
      <c r="B5" s="181"/>
      <c r="C5" s="181"/>
      <c r="D5" s="181"/>
      <c r="E5" s="181"/>
      <c r="F5" s="182"/>
      <c r="G5" s="182"/>
      <c r="H5" s="182"/>
      <c r="I5" s="182"/>
      <c r="J5" s="183"/>
      <c r="K5" s="183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</row>
    <row r="6" spans="1:41" x14ac:dyDescent="0.2">
      <c r="A6" s="254" t="s">
        <v>171</v>
      </c>
      <c r="B6" s="181"/>
      <c r="C6" s="181"/>
      <c r="D6" s="181"/>
      <c r="E6" s="181"/>
      <c r="F6" s="182"/>
      <c r="G6" s="182"/>
      <c r="H6" s="182"/>
      <c r="I6" s="182"/>
      <c r="J6" s="182"/>
      <c r="K6" s="182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</row>
    <row r="7" spans="1:41" x14ac:dyDescent="0.2">
      <c r="A7" s="731" t="s">
        <v>76</v>
      </c>
      <c r="B7" s="732"/>
      <c r="C7" s="732"/>
      <c r="D7" s="732"/>
      <c r="E7" s="732"/>
      <c r="F7" s="732"/>
      <c r="G7" s="732"/>
      <c r="H7" s="732"/>
      <c r="I7" s="732"/>
      <c r="J7" s="732"/>
      <c r="K7" s="732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</row>
    <row r="8" spans="1:41" s="2" customFormat="1" x14ac:dyDescent="0.2">
      <c r="A8" s="591"/>
      <c r="B8" s="592"/>
      <c r="C8" s="592"/>
      <c r="D8" s="592"/>
      <c r="E8" s="592"/>
      <c r="F8" s="592"/>
      <c r="G8" s="592"/>
      <c r="H8" s="592"/>
      <c r="I8" s="592"/>
      <c r="J8" s="592"/>
      <c r="K8" s="592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</row>
    <row r="9" spans="1:41" x14ac:dyDescent="0.2">
      <c r="A9" s="187" t="s">
        <v>234</v>
      </c>
      <c r="B9" s="728" t="s">
        <v>174</v>
      </c>
      <c r="C9" s="729"/>
      <c r="D9" s="729"/>
      <c r="E9" s="730"/>
      <c r="F9" s="182"/>
      <c r="G9" s="187" t="s">
        <v>232</v>
      </c>
      <c r="H9" s="728" t="s">
        <v>174</v>
      </c>
      <c r="I9" s="729"/>
      <c r="J9" s="729"/>
      <c r="K9" s="730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</row>
    <row r="10" spans="1:41" x14ac:dyDescent="0.2">
      <c r="A10" s="189" t="s">
        <v>233</v>
      </c>
      <c r="B10" s="190">
        <v>400</v>
      </c>
      <c r="C10" s="190">
        <v>600</v>
      </c>
      <c r="D10" s="190">
        <v>750</v>
      </c>
      <c r="E10" s="191">
        <v>900</v>
      </c>
      <c r="F10" s="182"/>
      <c r="G10" s="189" t="s">
        <v>233</v>
      </c>
      <c r="H10" s="190">
        <v>400</v>
      </c>
      <c r="I10" s="190">
        <v>600</v>
      </c>
      <c r="J10" s="190">
        <v>750</v>
      </c>
      <c r="K10" s="191">
        <v>900</v>
      </c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</row>
    <row r="11" spans="1:41" x14ac:dyDescent="0.2">
      <c r="A11" s="343">
        <v>450</v>
      </c>
      <c r="B11" s="344">
        <f>278.22*(KONSTV)</f>
        <v>278.22000000000003</v>
      </c>
      <c r="C11" s="593">
        <f>302.71*(KONSTV)</f>
        <v>302.70999999999998</v>
      </c>
      <c r="D11" s="593">
        <f>321.28*(KONSTV)</f>
        <v>321.27999999999997</v>
      </c>
      <c r="E11" s="593">
        <f>351.32*(KONSTV)</f>
        <v>351.32</v>
      </c>
      <c r="F11" s="182"/>
      <c r="G11" s="343">
        <v>450</v>
      </c>
      <c r="H11" s="344">
        <f>288.67*(KONSTV)</f>
        <v>288.67</v>
      </c>
      <c r="I11" s="345">
        <f>319.13*(KONSTV)</f>
        <v>319.13</v>
      </c>
      <c r="J11" s="345">
        <f>339.64*(KONSTV)</f>
        <v>339.64</v>
      </c>
      <c r="K11" s="345">
        <f>355.37*(KONSTV)</f>
        <v>355.37</v>
      </c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</row>
    <row r="12" spans="1:41" x14ac:dyDescent="0.2">
      <c r="A12" s="343">
        <v>600</v>
      </c>
      <c r="B12" s="593">
        <f>298.12*(KONSTV)</f>
        <v>298.12</v>
      </c>
      <c r="C12" s="593">
        <f>322.5*(KONSTV)</f>
        <v>322.5</v>
      </c>
      <c r="D12" s="593">
        <f>352.25*(KONSTV)</f>
        <v>352.25</v>
      </c>
      <c r="E12" s="593">
        <f>383.2*(KONSTV)</f>
        <v>383.2</v>
      </c>
      <c r="F12" s="182"/>
      <c r="G12" s="343">
        <v>600</v>
      </c>
      <c r="H12" s="345">
        <f>305.15*(KONSTV)</f>
        <v>305.14999999999998</v>
      </c>
      <c r="I12" s="345">
        <f>343.63*(KONSTV)</f>
        <v>343.63</v>
      </c>
      <c r="J12" s="345">
        <f>361.61*(KONSTV)</f>
        <v>361.61</v>
      </c>
      <c r="K12" s="345">
        <f>384.32*(KONSTV)</f>
        <v>384.32</v>
      </c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4"/>
      <c r="AL12" s="444"/>
      <c r="AM12" s="444"/>
      <c r="AN12" s="444"/>
      <c r="AO12" s="444"/>
    </row>
    <row r="13" spans="1:41" x14ac:dyDescent="0.2">
      <c r="A13" s="343">
        <v>750</v>
      </c>
      <c r="B13" s="593">
        <f>291.79*(KONSTV)</f>
        <v>291.79000000000002</v>
      </c>
      <c r="C13" s="593">
        <f>353.82*(KONSTV)</f>
        <v>353.82</v>
      </c>
      <c r="D13" s="593">
        <f>381.44*(KONSTV)</f>
        <v>381.44</v>
      </c>
      <c r="E13" s="593">
        <f>394.1*(KONSTV)</f>
        <v>394.1</v>
      </c>
      <c r="F13" s="182"/>
      <c r="G13" s="343">
        <v>750</v>
      </c>
      <c r="H13" s="345">
        <f>321.35*(KONSTV)</f>
        <v>321.35000000000002</v>
      </c>
      <c r="I13" s="345">
        <f>362.31*(KONSTV)</f>
        <v>362.31</v>
      </c>
      <c r="J13" s="345">
        <f>391.08*(KONSTV)</f>
        <v>391.08</v>
      </c>
      <c r="K13" s="345">
        <f>415.18*(KONSTV)</f>
        <v>415.18</v>
      </c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</row>
    <row r="14" spans="1:41" x14ac:dyDescent="0.2">
      <c r="A14" s="343">
        <v>900</v>
      </c>
      <c r="B14" s="593">
        <f>337.25*(KONSTV)</f>
        <v>337.25</v>
      </c>
      <c r="C14" s="344">
        <f>361.23*(KONSTV)</f>
        <v>361.23</v>
      </c>
      <c r="D14" s="593">
        <f>408.17*(KONSTV)</f>
        <v>408.17</v>
      </c>
      <c r="E14" s="593">
        <f>449.17*(KONSTV)</f>
        <v>449.17</v>
      </c>
      <c r="F14" s="182"/>
      <c r="G14" s="343">
        <v>900</v>
      </c>
      <c r="H14" s="345">
        <f>344.47*(KONSTV)</f>
        <v>344.47</v>
      </c>
      <c r="I14" s="344">
        <f>386.22*(KONSTV)</f>
        <v>386.22</v>
      </c>
      <c r="J14" s="345">
        <f>418.13*(KONSTV)</f>
        <v>418.13</v>
      </c>
      <c r="K14" s="345">
        <f>450.93*(KONSTV)</f>
        <v>450.93</v>
      </c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</row>
    <row r="15" spans="1:41" x14ac:dyDescent="0.2">
      <c r="A15" s="343">
        <v>1050</v>
      </c>
      <c r="B15" s="593">
        <f>359.12*(KONSTV)</f>
        <v>359.12</v>
      </c>
      <c r="C15" s="344">
        <f>405.73*(KONSTV)</f>
        <v>405.73</v>
      </c>
      <c r="D15" s="593">
        <f>434.43*(KONSTV)</f>
        <v>434.43</v>
      </c>
      <c r="E15" s="593">
        <f>486.05*(KONSTV)</f>
        <v>486.05</v>
      </c>
      <c r="F15" s="182"/>
      <c r="G15" s="343">
        <v>1050</v>
      </c>
      <c r="H15" s="345">
        <f>366.51*(KONSTV)</f>
        <v>366.51</v>
      </c>
      <c r="I15" s="344">
        <f>414.57*(KONSTV)</f>
        <v>414.57</v>
      </c>
      <c r="J15" s="345">
        <f>444.88*(KONSTV)</f>
        <v>444.88</v>
      </c>
      <c r="K15" s="345">
        <f>488.16*(KONSTV)</f>
        <v>488.16</v>
      </c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4"/>
      <c r="AK15" s="444"/>
      <c r="AL15" s="444"/>
      <c r="AM15" s="444"/>
      <c r="AN15" s="444"/>
      <c r="AO15" s="444"/>
    </row>
    <row r="16" spans="1:41" x14ac:dyDescent="0.2">
      <c r="A16" s="343">
        <v>1200</v>
      </c>
      <c r="B16" s="593">
        <f>371.52*(KONSTV)</f>
        <v>371.52</v>
      </c>
      <c r="C16" s="593">
        <f>427.18*(KONSTV)</f>
        <v>427.18</v>
      </c>
      <c r="D16" s="593">
        <f>469.8*(KONSTV)</f>
        <v>469.8</v>
      </c>
      <c r="E16" s="593">
        <f>471.02*(KONSTV)</f>
        <v>471.02</v>
      </c>
      <c r="F16" s="182"/>
      <c r="G16" s="343">
        <v>1200</v>
      </c>
      <c r="H16" s="345">
        <f>379*(KONSTV)</f>
        <v>379</v>
      </c>
      <c r="I16" s="345">
        <f>436.21*(KONSTV)</f>
        <v>436.21</v>
      </c>
      <c r="J16" s="345">
        <f>480.59*(KONSTV)</f>
        <v>480.59</v>
      </c>
      <c r="K16" s="345">
        <f>519.18*(KONSTV)</f>
        <v>519.17999999999995</v>
      </c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</row>
    <row r="17" spans="1:41" x14ac:dyDescent="0.2">
      <c r="A17" s="343">
        <v>1350</v>
      </c>
      <c r="B17" s="593">
        <f>393.23*(KONSTV)</f>
        <v>393.23</v>
      </c>
      <c r="C17" s="593">
        <f>396.75*(KONSTV)</f>
        <v>396.75</v>
      </c>
      <c r="D17" s="593">
        <f>497.09*(KONSTV)</f>
        <v>497.09</v>
      </c>
      <c r="E17" s="593">
        <f>490.95*(KONSTV)</f>
        <v>490.95</v>
      </c>
      <c r="F17" s="182"/>
      <c r="G17" s="343">
        <v>1350</v>
      </c>
      <c r="H17" s="345">
        <f>400.88*(KONSTV)</f>
        <v>400.88</v>
      </c>
      <c r="I17" s="345">
        <f>465.33*(KONSTV)</f>
        <v>465.33</v>
      </c>
      <c r="J17" s="345">
        <f>508.16*(KONSTV)</f>
        <v>508.16</v>
      </c>
      <c r="K17" s="345">
        <f>547.8*(KONSTV)</f>
        <v>547.79999999999995</v>
      </c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</row>
    <row r="18" spans="1:41" x14ac:dyDescent="0.2">
      <c r="A18" s="343">
        <v>1500</v>
      </c>
      <c r="B18" s="593">
        <f>421.13*(KONSTV)</f>
        <v>421.13</v>
      </c>
      <c r="C18" s="344">
        <f>485.68*(KONSTV)</f>
        <v>485.68</v>
      </c>
      <c r="D18" s="593">
        <f>532.85*(KONSTV)</f>
        <v>532.85</v>
      </c>
      <c r="E18" s="593">
        <f>581.73*(KONSTV)</f>
        <v>581.73</v>
      </c>
      <c r="F18" s="182"/>
      <c r="G18" s="343">
        <v>1500</v>
      </c>
      <c r="H18" s="345">
        <f>428.94*(KONSTV)</f>
        <v>428.94</v>
      </c>
      <c r="I18" s="344">
        <f>495.08*(KONSTV)</f>
        <v>495.08</v>
      </c>
      <c r="J18" s="345">
        <f>544.29*(KONSTV)</f>
        <v>544.29</v>
      </c>
      <c r="K18" s="345">
        <f>584.7*(KONSTV)</f>
        <v>584.70000000000005</v>
      </c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</row>
    <row r="19" spans="1:41" x14ac:dyDescent="0.2">
      <c r="A19" s="343">
        <v>1650</v>
      </c>
      <c r="B19" s="593">
        <f>440.59*(KONSTV)</f>
        <v>440.59</v>
      </c>
      <c r="C19" s="593">
        <f>506.28*(KONSTV)</f>
        <v>506.28</v>
      </c>
      <c r="D19" s="593" t="s">
        <v>74</v>
      </c>
      <c r="E19" s="593" t="s">
        <v>74</v>
      </c>
      <c r="F19" s="182"/>
      <c r="G19" s="343">
        <v>1650</v>
      </c>
      <c r="H19" s="345">
        <f>448.52*(KONSTV)</f>
        <v>448.52</v>
      </c>
      <c r="I19" s="345">
        <f>515.87*(KONSTV)</f>
        <v>515.87</v>
      </c>
      <c r="J19" s="346" t="s">
        <v>74</v>
      </c>
      <c r="K19" s="346" t="s">
        <v>74</v>
      </c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</row>
    <row r="20" spans="1:41" x14ac:dyDescent="0.2">
      <c r="A20" s="343">
        <v>1800</v>
      </c>
      <c r="B20" s="593">
        <f>454.19*(KONSTV)</f>
        <v>454.19</v>
      </c>
      <c r="C20" s="593">
        <f>424.81*(KONSTV)</f>
        <v>424.81</v>
      </c>
      <c r="D20" s="593" t="s">
        <v>74</v>
      </c>
      <c r="E20" s="593" t="s">
        <v>74</v>
      </c>
      <c r="F20" s="182"/>
      <c r="G20" s="343">
        <v>1800</v>
      </c>
      <c r="H20" s="345">
        <f>467.22*(KONSTV)</f>
        <v>467.22</v>
      </c>
      <c r="I20" s="345">
        <f>533.22*(KONSTV)</f>
        <v>533.22</v>
      </c>
      <c r="J20" s="346" t="s">
        <v>74</v>
      </c>
      <c r="K20" s="346" t="s">
        <v>74</v>
      </c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</row>
    <row r="21" spans="1:41" x14ac:dyDescent="0.2">
      <c r="A21" s="343">
        <v>1950</v>
      </c>
      <c r="B21" s="593">
        <f>479.91*(KONSTV)</f>
        <v>479.91</v>
      </c>
      <c r="C21" s="593">
        <f>434.85*(KONSTV)</f>
        <v>434.85</v>
      </c>
      <c r="D21" s="593" t="s">
        <v>74</v>
      </c>
      <c r="E21" s="593" t="s">
        <v>74</v>
      </c>
      <c r="F21" s="182"/>
      <c r="G21" s="343">
        <v>1950</v>
      </c>
      <c r="H21" s="345">
        <f>488.16*(KONSTV)</f>
        <v>488.16</v>
      </c>
      <c r="I21" s="345">
        <f>556.95*(KONSTV)</f>
        <v>556.95000000000005</v>
      </c>
      <c r="J21" s="346" t="s">
        <v>74</v>
      </c>
      <c r="K21" s="346" t="s">
        <v>74</v>
      </c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</row>
    <row r="22" spans="1:41" ht="9" customHeight="1" x14ac:dyDescent="0.2">
      <c r="A22" s="185">
        <f>(1-F4)</f>
        <v>1</v>
      </c>
      <c r="B22" s="186"/>
      <c r="C22" s="186"/>
      <c r="D22" s="186"/>
      <c r="E22" s="186"/>
      <c r="F22" s="182"/>
      <c r="G22" s="182"/>
      <c r="H22" s="10"/>
      <c r="I22" s="10"/>
      <c r="J22" s="182"/>
      <c r="K22" s="182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</row>
    <row r="23" spans="1:41" x14ac:dyDescent="0.2">
      <c r="A23" s="188" t="s">
        <v>73</v>
      </c>
      <c r="B23" s="722" t="s">
        <v>174</v>
      </c>
      <c r="C23" s="723"/>
      <c r="D23" s="723"/>
      <c r="E23" s="724"/>
      <c r="F23" s="182"/>
      <c r="G23" s="188" t="s">
        <v>399</v>
      </c>
      <c r="H23" s="722" t="s">
        <v>174</v>
      </c>
      <c r="I23" s="723"/>
      <c r="J23" s="723"/>
      <c r="K23" s="72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</row>
    <row r="24" spans="1:41" x14ac:dyDescent="0.2">
      <c r="A24" s="192" t="s">
        <v>233</v>
      </c>
      <c r="B24" s="193">
        <v>400</v>
      </c>
      <c r="C24" s="193">
        <v>600</v>
      </c>
      <c r="D24" s="193">
        <v>750</v>
      </c>
      <c r="E24" s="194">
        <v>900</v>
      </c>
      <c r="F24" s="182"/>
      <c r="G24" s="192" t="s">
        <v>233</v>
      </c>
      <c r="H24" s="193">
        <v>400</v>
      </c>
      <c r="I24" s="193">
        <v>600</v>
      </c>
      <c r="J24" s="193">
        <v>750</v>
      </c>
      <c r="K24" s="194">
        <v>900</v>
      </c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</row>
    <row r="25" spans="1:41" x14ac:dyDescent="0.2">
      <c r="A25" s="343">
        <v>450</v>
      </c>
      <c r="B25" s="344">
        <f>292.82*(KONSTV)</f>
        <v>292.82</v>
      </c>
      <c r="C25" s="345">
        <f>326.72*(KONSTV)</f>
        <v>326.72000000000003</v>
      </c>
      <c r="D25" s="345">
        <f>349.6*(KONSTV)</f>
        <v>349.6</v>
      </c>
      <c r="E25" s="345">
        <f>368.71*(KONSTV)</f>
        <v>368.71</v>
      </c>
      <c r="F25" s="182"/>
      <c r="G25" s="343">
        <v>450</v>
      </c>
      <c r="H25" s="344">
        <f>312.02*(KONSTV)</f>
        <v>312.02</v>
      </c>
      <c r="I25" s="345">
        <f>342.64*(KONSTV)</f>
        <v>342.64</v>
      </c>
      <c r="J25" s="345">
        <f>367.09*(KONSTV)</f>
        <v>367.09</v>
      </c>
      <c r="K25" s="345">
        <f>397.76*(KONSTV)</f>
        <v>397.76</v>
      </c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</row>
    <row r="26" spans="1:41" x14ac:dyDescent="0.2">
      <c r="A26" s="343">
        <v>600</v>
      </c>
      <c r="B26" s="345">
        <f>311.65*(KONSTV)</f>
        <v>311.64999999999998</v>
      </c>
      <c r="C26" s="344">
        <f>351.95*(KONSTV)</f>
        <v>351.95</v>
      </c>
      <c r="D26" s="345">
        <f>374.08*(KONSTV)</f>
        <v>374.08</v>
      </c>
      <c r="E26" s="345">
        <f>400.08*(KONSTV)</f>
        <v>400.08</v>
      </c>
      <c r="F26" s="182"/>
      <c r="G26" s="343">
        <v>600</v>
      </c>
      <c r="H26" s="345">
        <f>332.44*(KONSTV)</f>
        <v>332.44</v>
      </c>
      <c r="I26" s="344">
        <f>371.74*(KONSTV)</f>
        <v>371.74</v>
      </c>
      <c r="J26" s="345">
        <f>395.55*(KONSTV)</f>
        <v>395.55</v>
      </c>
      <c r="K26" s="345">
        <f>435.97*(KONSTV)</f>
        <v>435.97</v>
      </c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</row>
    <row r="27" spans="1:41" x14ac:dyDescent="0.2">
      <c r="A27" s="343">
        <v>750</v>
      </c>
      <c r="B27" s="345">
        <f>328.2*(KONSTV)</f>
        <v>328.2</v>
      </c>
      <c r="C27" s="344">
        <f>373.54*(KONSTV)</f>
        <v>373.54</v>
      </c>
      <c r="D27" s="345">
        <f>404.98*(KONSTV)</f>
        <v>404.98</v>
      </c>
      <c r="E27" s="345">
        <f>434.61*(KONSTV)</f>
        <v>434.61</v>
      </c>
      <c r="F27" s="182"/>
      <c r="G27" s="343">
        <v>750</v>
      </c>
      <c r="H27" s="345">
        <f>350.54*(KONSTV)</f>
        <v>350.54</v>
      </c>
      <c r="I27" s="344">
        <f>396.89*(KONSTV)</f>
        <v>396.89</v>
      </c>
      <c r="J27" s="345">
        <f>431.17*(KONSTV)</f>
        <v>431.17</v>
      </c>
      <c r="K27" s="345">
        <f>477.47*(KONSTV)</f>
        <v>477.47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</row>
    <row r="28" spans="1:41" x14ac:dyDescent="0.2">
      <c r="A28" s="343">
        <v>900</v>
      </c>
      <c r="B28" s="344">
        <f>352.75*(KONSTV)</f>
        <v>352.75</v>
      </c>
      <c r="C28" s="344">
        <f>399.77*(KONSTV)</f>
        <v>399.77</v>
      </c>
      <c r="D28" s="345">
        <f>435.97*(KONSTV)</f>
        <v>435.97</v>
      </c>
      <c r="E28" s="344">
        <f>472.48*(KONSTV)</f>
        <v>472.48</v>
      </c>
      <c r="F28" s="182"/>
      <c r="G28" s="343">
        <v>900</v>
      </c>
      <c r="H28" s="344">
        <f>375.79*(KONSTV)</f>
        <v>375.79</v>
      </c>
      <c r="I28" s="344">
        <f>426.17*(KONSTV)</f>
        <v>426.17</v>
      </c>
      <c r="J28" s="345">
        <f>466.52*(KONSTV)</f>
        <v>466.52</v>
      </c>
      <c r="K28" s="344">
        <f>520.37*(KONSTV)</f>
        <v>520.37</v>
      </c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</row>
    <row r="29" spans="1:41" x14ac:dyDescent="0.2">
      <c r="A29" s="343">
        <v>1050</v>
      </c>
      <c r="B29" s="344">
        <f>376.26*(KONSTV)</f>
        <v>376.26</v>
      </c>
      <c r="C29" s="344">
        <f>430.53*(KONSTV)</f>
        <v>430.53</v>
      </c>
      <c r="D29" s="345">
        <f>465.84*(KONSTV)</f>
        <v>465.84</v>
      </c>
      <c r="E29" s="345">
        <f>513.41*(KONSTV)</f>
        <v>513.41</v>
      </c>
      <c r="F29" s="182"/>
      <c r="G29" s="343">
        <v>1050</v>
      </c>
      <c r="H29" s="344">
        <f>398.56*(KONSTV)</f>
        <v>398.56</v>
      </c>
      <c r="I29" s="344">
        <f>458.48*(KONSTV)</f>
        <v>458.48</v>
      </c>
      <c r="J29" s="345">
        <f>499.37*(KONSTV)</f>
        <v>499.37</v>
      </c>
      <c r="K29" s="345">
        <f>566.32*(KONSTV)</f>
        <v>566.32000000000005</v>
      </c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</row>
    <row r="30" spans="1:41" x14ac:dyDescent="0.2">
      <c r="A30" s="343">
        <v>1200</v>
      </c>
      <c r="B30" s="344">
        <f>390.28*(KONSTV)</f>
        <v>390.28</v>
      </c>
      <c r="C30" s="344">
        <f>454.54*(KONSTV)</f>
        <v>454.54</v>
      </c>
      <c r="D30" s="345">
        <f>504.59*(KONSTV)</f>
        <v>504.59</v>
      </c>
      <c r="E30" s="345">
        <f>548.15*(KONSTV)</f>
        <v>548.15</v>
      </c>
      <c r="F30" s="182"/>
      <c r="G30" s="343">
        <v>1200</v>
      </c>
      <c r="H30" s="344">
        <f>414.57*(KONSTV)</f>
        <v>414.57</v>
      </c>
      <c r="I30" s="344">
        <f>486.64*(KONSTV)</f>
        <v>486.64</v>
      </c>
      <c r="J30" s="345">
        <f>543.51*(KONSTV)</f>
        <v>543.51</v>
      </c>
      <c r="K30" s="345">
        <f>608.08*(KONSTV)</f>
        <v>608.08000000000004</v>
      </c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</row>
    <row r="31" spans="1:41" x14ac:dyDescent="0.2">
      <c r="A31" s="343">
        <v>1350</v>
      </c>
      <c r="B31" s="344">
        <f>413.61*(KONSTV)</f>
        <v>413.61</v>
      </c>
      <c r="C31" s="344">
        <f>486.05*(KONSTV)</f>
        <v>486.05</v>
      </c>
      <c r="D31" s="345">
        <f>535.33*(KONSTV)</f>
        <v>535.33000000000004</v>
      </c>
      <c r="E31" s="345">
        <f>580.53*(KONSTV)</f>
        <v>580.53</v>
      </c>
      <c r="F31" s="182"/>
      <c r="G31" s="343">
        <v>1350</v>
      </c>
      <c r="H31" s="344">
        <f>440.5*(KONSTV)</f>
        <v>440.5</v>
      </c>
      <c r="I31" s="344">
        <f>523.02*(KONSTV)</f>
        <v>523.02</v>
      </c>
      <c r="J31" s="345">
        <f>580.06*(KONSTV)</f>
        <v>580.05999999999995</v>
      </c>
      <c r="K31" s="345">
        <f>647.82*(KONSTV)</f>
        <v>647.82000000000005</v>
      </c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</row>
    <row r="32" spans="1:41" x14ac:dyDescent="0.2">
      <c r="A32" s="343">
        <v>1500</v>
      </c>
      <c r="B32" s="344">
        <f>443.15*(KONSTV)</f>
        <v>443.15</v>
      </c>
      <c r="C32" s="344">
        <f>518.17*(KONSTV)</f>
        <v>518.16999999999996</v>
      </c>
      <c r="D32" s="345">
        <f>574.55*(KONSTV)</f>
        <v>574.54999999999995</v>
      </c>
      <c r="E32" s="345">
        <f>621.18*(KONSTV)</f>
        <v>621.17999999999995</v>
      </c>
      <c r="F32" s="182"/>
      <c r="G32" s="343">
        <v>1500</v>
      </c>
      <c r="H32" s="344">
        <f>468.72*(KONSTV)</f>
        <v>468.72</v>
      </c>
      <c r="I32" s="344">
        <f>556.41*(KONSTV)</f>
        <v>556.41</v>
      </c>
      <c r="J32" s="345">
        <f>621.84*(KONSTV)</f>
        <v>621.84</v>
      </c>
      <c r="K32" s="345">
        <f>692.78*(KONSTV)</f>
        <v>692.78</v>
      </c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</row>
    <row r="33" spans="1:41" x14ac:dyDescent="0.2">
      <c r="A33" s="343">
        <v>1650</v>
      </c>
      <c r="B33" s="344">
        <f>464.18*(KONSTV)</f>
        <v>464.18</v>
      </c>
      <c r="C33" s="344">
        <f>541.38*(KONSTV)</f>
        <v>541.38</v>
      </c>
      <c r="D33" s="346" t="s">
        <v>74</v>
      </c>
      <c r="E33" s="346" t="s">
        <v>74</v>
      </c>
      <c r="F33" s="182"/>
      <c r="G33" s="343">
        <v>1650</v>
      </c>
      <c r="H33" s="344">
        <f>491.58*(KONSTV)</f>
        <v>491.58</v>
      </c>
      <c r="I33" s="344">
        <f>583.42*(KONSTV)</f>
        <v>583.41999999999996</v>
      </c>
      <c r="J33" s="346" t="s">
        <v>74</v>
      </c>
      <c r="K33" s="346" t="s">
        <v>74</v>
      </c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</row>
    <row r="34" spans="1:41" x14ac:dyDescent="0.2">
      <c r="A34" s="343">
        <v>1800</v>
      </c>
      <c r="B34" s="344">
        <f>484.39*(KONSTV)</f>
        <v>484.39</v>
      </c>
      <c r="C34" s="344">
        <f>561.07*(KONSTV)</f>
        <v>561.07000000000005</v>
      </c>
      <c r="D34" s="346" t="s">
        <v>74</v>
      </c>
      <c r="E34" s="346" t="s">
        <v>74</v>
      </c>
      <c r="F34" s="182"/>
      <c r="G34" s="343">
        <v>1800</v>
      </c>
      <c r="H34" s="344">
        <f>513.41*(KONSTV)</f>
        <v>513.41</v>
      </c>
      <c r="I34" s="344">
        <f>606.74*(KONSTV)</f>
        <v>606.74</v>
      </c>
      <c r="J34" s="346" t="s">
        <v>74</v>
      </c>
      <c r="K34" s="346" t="s">
        <v>74</v>
      </c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</row>
    <row r="35" spans="1:41" x14ac:dyDescent="0.2">
      <c r="A35" s="343">
        <v>1950</v>
      </c>
      <c r="B35" s="344">
        <f>506.75*(KONSTV)</f>
        <v>506.75</v>
      </c>
      <c r="C35" s="344">
        <f>587.14*(KONSTV)</f>
        <v>587.14</v>
      </c>
      <c r="D35" s="346" t="s">
        <v>74</v>
      </c>
      <c r="E35" s="346" t="s">
        <v>74</v>
      </c>
      <c r="F35" s="182"/>
      <c r="G35" s="343">
        <v>1950</v>
      </c>
      <c r="H35" s="344">
        <f>536.39*(KONSTV)</f>
        <v>536.39</v>
      </c>
      <c r="I35" s="344">
        <f>638.02*(KONSTV)</f>
        <v>638.02</v>
      </c>
      <c r="J35" s="346" t="s">
        <v>74</v>
      </c>
      <c r="K35" s="346" t="s">
        <v>74</v>
      </c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</row>
    <row r="36" spans="1:41" ht="8.25" customHeight="1" x14ac:dyDescent="0.2">
      <c r="A36" s="182"/>
      <c r="B36" s="181"/>
      <c r="C36" s="181"/>
      <c r="D36" s="181"/>
      <c r="E36" s="181"/>
      <c r="F36" s="182"/>
      <c r="G36" s="181"/>
      <c r="H36" s="181"/>
      <c r="I36" s="181"/>
      <c r="J36" s="181"/>
      <c r="K36" s="182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44"/>
      <c r="Y36" s="444"/>
      <c r="Z36" s="444"/>
      <c r="AA36" s="444"/>
      <c r="AB36" s="444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</row>
    <row r="37" spans="1:41" x14ac:dyDescent="0.2">
      <c r="A37" s="717" t="s">
        <v>236</v>
      </c>
      <c r="B37" s="717"/>
      <c r="C37" s="717"/>
      <c r="D37" s="717"/>
      <c r="E37" s="717"/>
      <c r="F37" s="717"/>
      <c r="G37" s="717"/>
      <c r="H37" s="717"/>
      <c r="I37" s="717"/>
      <c r="J37" s="717"/>
      <c r="K37" s="717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</row>
    <row r="38" spans="1:41" ht="8.25" customHeight="1" x14ac:dyDescent="0.2">
      <c r="A38" s="182"/>
      <c r="B38" s="181"/>
      <c r="C38" s="181"/>
      <c r="D38" s="181"/>
      <c r="E38" s="181"/>
      <c r="F38" s="182"/>
      <c r="G38" s="181"/>
      <c r="H38" s="181"/>
      <c r="I38" s="181"/>
      <c r="J38" s="181"/>
      <c r="K38" s="182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</row>
    <row r="39" spans="1:41" x14ac:dyDescent="0.2">
      <c r="A39" s="182"/>
      <c r="C39" s="186"/>
      <c r="D39" s="401" t="s">
        <v>237</v>
      </c>
      <c r="E39" s="186"/>
      <c r="F39" s="182"/>
      <c r="K39" s="182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</row>
    <row r="40" spans="1:41" x14ac:dyDescent="0.2">
      <c r="A40" s="182"/>
      <c r="B40" s="195" t="s">
        <v>232</v>
      </c>
      <c r="C40" s="722" t="s">
        <v>174</v>
      </c>
      <c r="D40" s="723"/>
      <c r="E40" s="724"/>
      <c r="F40" s="195" t="s">
        <v>73</v>
      </c>
      <c r="G40" s="722" t="s">
        <v>174</v>
      </c>
      <c r="H40" s="723"/>
      <c r="I40" s="724"/>
      <c r="K40" s="613"/>
      <c r="L40" s="44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</row>
    <row r="41" spans="1:41" x14ac:dyDescent="0.2">
      <c r="A41" s="182"/>
      <c r="B41" s="192" t="s">
        <v>233</v>
      </c>
      <c r="C41" s="196">
        <v>1800</v>
      </c>
      <c r="D41" s="196">
        <v>1950</v>
      </c>
      <c r="E41" s="196">
        <v>2100</v>
      </c>
      <c r="F41" s="192" t="s">
        <v>233</v>
      </c>
      <c r="G41" s="196">
        <v>1800</v>
      </c>
      <c r="H41" s="196">
        <v>1950</v>
      </c>
      <c r="I41" s="196">
        <v>2100</v>
      </c>
      <c r="K41" s="613"/>
      <c r="L41" s="44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</row>
    <row r="42" spans="1:41" x14ac:dyDescent="0.2">
      <c r="A42" s="182"/>
      <c r="B42" s="342">
        <v>300</v>
      </c>
      <c r="C42" s="344">
        <f>379.5*(KONSTV)</f>
        <v>379.5</v>
      </c>
      <c r="D42" s="345">
        <f>395.74*(KONSTV)</f>
        <v>395.74</v>
      </c>
      <c r="E42" s="345">
        <f>411.54*(KONSTV)</f>
        <v>411.54</v>
      </c>
      <c r="F42" s="342">
        <v>300</v>
      </c>
      <c r="G42" s="344">
        <f>410.51*(KONSTV)</f>
        <v>410.51</v>
      </c>
      <c r="H42" s="345">
        <f>430.42*(KONSTV)</f>
        <v>430.42</v>
      </c>
      <c r="I42" s="345">
        <f>449.81*(KONSTV)</f>
        <v>449.81</v>
      </c>
      <c r="K42" s="613"/>
      <c r="L42" s="44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</row>
    <row r="43" spans="1:41" x14ac:dyDescent="0.2">
      <c r="A43" s="182"/>
      <c r="B43" s="343">
        <v>450</v>
      </c>
      <c r="C43" s="344">
        <f>391.1*(KONSTV)</f>
        <v>391.1</v>
      </c>
      <c r="D43" s="345">
        <f>410.51*(KONSTV)</f>
        <v>410.51</v>
      </c>
      <c r="E43" s="345">
        <f>429.22*(KONSTV)</f>
        <v>429.22</v>
      </c>
      <c r="F43" s="343">
        <v>450</v>
      </c>
      <c r="G43" s="344">
        <f>401.28*(KONSTV)</f>
        <v>401.28</v>
      </c>
      <c r="H43" s="345">
        <f>421.91*(KONSTV)</f>
        <v>421.91</v>
      </c>
      <c r="I43" s="345">
        <f>457.38*(KONSTV)</f>
        <v>457.38</v>
      </c>
      <c r="K43" s="613"/>
      <c r="L43" s="44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</row>
    <row r="44" spans="1:41" x14ac:dyDescent="0.2">
      <c r="A44" s="594"/>
      <c r="B44" s="595">
        <v>600</v>
      </c>
      <c r="C44" s="596">
        <f>430.02*(KONSTV)</f>
        <v>430.02</v>
      </c>
      <c r="D44" s="596">
        <f>453.81*(KONSTV)</f>
        <v>453.81</v>
      </c>
      <c r="E44" s="597">
        <f>477.12*(KONSTV)</f>
        <v>477.12</v>
      </c>
      <c r="F44" s="595">
        <v>600</v>
      </c>
      <c r="G44" s="596">
        <f>437.73*(KONSTV)</f>
        <v>437.73</v>
      </c>
      <c r="H44" s="596">
        <f>464.01*(KONSTV)</f>
        <v>464.01</v>
      </c>
      <c r="I44" s="597">
        <f>505.32*(KONSTV)</f>
        <v>505.32</v>
      </c>
      <c r="J44" s="2"/>
      <c r="K44" s="613"/>
      <c r="L44" s="44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</row>
    <row r="45" spans="1:41" x14ac:dyDescent="0.2">
      <c r="A45" s="594"/>
      <c r="B45" s="595">
        <v>750</v>
      </c>
      <c r="C45" s="596">
        <f>474.14*(KONSTV)</f>
        <v>474.14</v>
      </c>
      <c r="D45" s="596">
        <f>501.66*(KONSTV)</f>
        <v>501.66</v>
      </c>
      <c r="E45" s="597">
        <f>528.25*(KONSTV)</f>
        <v>528.25</v>
      </c>
      <c r="F45" s="595">
        <v>750</v>
      </c>
      <c r="G45" s="596">
        <f>490.9*(KONSTV)</f>
        <v>490.9</v>
      </c>
      <c r="H45" s="596">
        <f>522.37*(KONSTV)</f>
        <v>522.37</v>
      </c>
      <c r="I45" s="597">
        <f>568.41*(KONSTV)</f>
        <v>568.41</v>
      </c>
      <c r="J45" s="2"/>
      <c r="K45" s="613"/>
      <c r="L45" s="44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</row>
    <row r="46" spans="1:41" x14ac:dyDescent="0.2">
      <c r="A46" s="594"/>
      <c r="B46" s="598"/>
      <c r="C46" s="599"/>
      <c r="D46" s="599"/>
      <c r="E46" s="600"/>
      <c r="F46" s="594"/>
      <c r="G46" s="598"/>
      <c r="H46" s="600"/>
      <c r="I46" s="600"/>
      <c r="J46" s="599"/>
      <c r="K46" s="613"/>
      <c r="L46" s="44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</row>
    <row r="47" spans="1:41" x14ac:dyDescent="0.2">
      <c r="A47" s="594"/>
      <c r="B47" s="2"/>
      <c r="C47" s="601"/>
      <c r="D47" s="602" t="s">
        <v>238</v>
      </c>
      <c r="E47" s="601"/>
      <c r="F47" s="594"/>
      <c r="G47" s="598"/>
      <c r="H47" s="600"/>
      <c r="I47" s="600"/>
      <c r="J47" s="599"/>
      <c r="K47" s="613"/>
      <c r="L47" s="44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</row>
    <row r="48" spans="1:41" x14ac:dyDescent="0.2">
      <c r="A48" s="594"/>
      <c r="B48" s="195" t="s">
        <v>232</v>
      </c>
      <c r="C48" s="725" t="s">
        <v>174</v>
      </c>
      <c r="D48" s="726"/>
      <c r="E48" s="727"/>
      <c r="F48" s="195" t="s">
        <v>73</v>
      </c>
      <c r="G48" s="725" t="s">
        <v>174</v>
      </c>
      <c r="H48" s="726"/>
      <c r="I48" s="727"/>
      <c r="J48" s="599"/>
      <c r="K48" s="613"/>
      <c r="L48" s="44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</row>
    <row r="49" spans="1:23" x14ac:dyDescent="0.2">
      <c r="A49" s="594"/>
      <c r="B49" s="606" t="s">
        <v>233</v>
      </c>
      <c r="C49" s="605">
        <v>1800</v>
      </c>
      <c r="D49" s="605">
        <v>1950</v>
      </c>
      <c r="E49" s="605">
        <v>2100</v>
      </c>
      <c r="F49" s="606" t="s">
        <v>233</v>
      </c>
      <c r="G49" s="605">
        <v>1800</v>
      </c>
      <c r="H49" s="605">
        <v>1950</v>
      </c>
      <c r="I49" s="605">
        <v>2100</v>
      </c>
      <c r="J49" s="599"/>
      <c r="K49" s="613"/>
      <c r="L49" s="44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</row>
    <row r="50" spans="1:23" x14ac:dyDescent="0.2">
      <c r="A50" s="594"/>
      <c r="B50" s="603">
        <v>300</v>
      </c>
      <c r="C50" s="597">
        <f>380.53*(KONSTV)</f>
        <v>380.53</v>
      </c>
      <c r="D50" s="597">
        <f>396.82*(KONSTV)</f>
        <v>396.82</v>
      </c>
      <c r="E50" s="597">
        <f>412.67*(KONSTV)</f>
        <v>412.67</v>
      </c>
      <c r="F50" s="603">
        <v>300</v>
      </c>
      <c r="G50" s="607">
        <f>411.64*(KONSTV)</f>
        <v>411.64</v>
      </c>
      <c r="H50" s="597">
        <f>431.59*(KONSTV)</f>
        <v>431.59</v>
      </c>
      <c r="I50" s="597">
        <f>451.02*(KONSTV)</f>
        <v>451.02</v>
      </c>
      <c r="J50" s="599"/>
      <c r="K50" s="613"/>
      <c r="L50" s="44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</row>
    <row r="51" spans="1:23" x14ac:dyDescent="0.2">
      <c r="A51" s="594"/>
      <c r="B51" s="595">
        <v>450</v>
      </c>
      <c r="C51" s="596">
        <f>399.68*(KONSTV)</f>
        <v>399.68</v>
      </c>
      <c r="D51" s="596">
        <f>420.73*(KONSTV)</f>
        <v>420.73</v>
      </c>
      <c r="E51" s="597">
        <f>439.91*(KONSTV)</f>
        <v>439.91</v>
      </c>
      <c r="F51" s="595">
        <v>450</v>
      </c>
      <c r="G51" s="608">
        <f>409.83*(KONSTV)</f>
        <v>409.83</v>
      </c>
      <c r="H51" s="596">
        <f>432.1*(KONSTV)</f>
        <v>432.1</v>
      </c>
      <c r="I51" s="597">
        <f>468.07*(KONSTV)</f>
        <v>468.07</v>
      </c>
      <c r="J51" s="599"/>
      <c r="K51" s="613"/>
      <c r="L51" s="44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</row>
    <row r="52" spans="1:23" x14ac:dyDescent="0.2">
      <c r="A52" s="594"/>
      <c r="B52" s="595">
        <v>600</v>
      </c>
      <c r="C52" s="597">
        <f>458.88*(KONSTV)</f>
        <v>458.88</v>
      </c>
      <c r="D52" s="596">
        <f>484.27*(KONSTV)</f>
        <v>484.27</v>
      </c>
      <c r="E52" s="596">
        <f>509.14*(KONSTV)</f>
        <v>509.14</v>
      </c>
      <c r="F52" s="595">
        <v>600</v>
      </c>
      <c r="G52" s="607">
        <f>466.61*(KONSTV)</f>
        <v>466.61</v>
      </c>
      <c r="H52" s="596">
        <f>494.44*(KONSTV)</f>
        <v>494.44</v>
      </c>
      <c r="I52" s="596">
        <f>523.07*(KONSTV)</f>
        <v>523.07000000000005</v>
      </c>
      <c r="J52" s="599"/>
      <c r="K52" s="613"/>
      <c r="L52" s="44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</row>
    <row r="53" spans="1:23" x14ac:dyDescent="0.2">
      <c r="A53" s="594"/>
      <c r="B53" s="595">
        <v>750</v>
      </c>
      <c r="C53" s="597">
        <f>505.63*(KONSTV)</f>
        <v>505.63</v>
      </c>
      <c r="D53" s="597">
        <f>534.84*(KONSTV)</f>
        <v>534.84</v>
      </c>
      <c r="E53" s="596">
        <f>563.02*(KONSTV)</f>
        <v>563.02</v>
      </c>
      <c r="F53" s="595">
        <v>750</v>
      </c>
      <c r="G53" s="607">
        <f>522.41*(KONSTV)</f>
        <v>522.41</v>
      </c>
      <c r="H53" s="597">
        <f>555.52*(KONSTV)</f>
        <v>555.52</v>
      </c>
      <c r="I53" s="596">
        <f>588.83*(KONSTV)</f>
        <v>588.83000000000004</v>
      </c>
      <c r="J53" s="599"/>
      <c r="K53" s="613"/>
      <c r="L53" s="44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</row>
    <row r="54" spans="1:23" x14ac:dyDescent="0.2">
      <c r="A54" s="594"/>
      <c r="B54" s="598"/>
      <c r="C54" s="599"/>
      <c r="D54" s="599"/>
      <c r="E54" s="600"/>
      <c r="F54" s="594"/>
      <c r="G54" s="598"/>
      <c r="H54" s="600"/>
      <c r="I54" s="600"/>
      <c r="J54" s="599"/>
      <c r="K54" s="613"/>
      <c r="L54" s="44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</row>
    <row r="55" spans="1:23" x14ac:dyDescent="0.2">
      <c r="A55" s="594"/>
      <c r="B55" s="598"/>
      <c r="C55" s="599"/>
      <c r="D55" s="599"/>
      <c r="E55" s="600"/>
      <c r="F55" s="594"/>
      <c r="G55" s="598"/>
      <c r="H55" s="600"/>
      <c r="I55" s="600"/>
      <c r="J55" s="599"/>
      <c r="K55" s="613"/>
      <c r="L55" s="44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</row>
    <row r="56" spans="1:23" ht="6.75" customHeight="1" x14ac:dyDescent="0.2">
      <c r="A56" s="594"/>
      <c r="B56" s="604"/>
      <c r="C56" s="604"/>
      <c r="D56" s="604"/>
      <c r="E56" s="594"/>
      <c r="F56" s="594"/>
      <c r="G56" s="594"/>
      <c r="H56" s="594"/>
      <c r="I56" s="594"/>
      <c r="J56" s="594"/>
      <c r="K56" s="59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</row>
    <row r="57" spans="1:23" x14ac:dyDescent="0.2">
      <c r="A57" s="717" t="s">
        <v>241</v>
      </c>
      <c r="B57" s="717"/>
      <c r="C57" s="717"/>
      <c r="D57" s="717"/>
      <c r="E57" s="717"/>
      <c r="F57" s="717"/>
      <c r="G57" s="717"/>
      <c r="H57" s="717"/>
      <c r="I57" s="717"/>
      <c r="J57" s="717"/>
      <c r="K57" s="717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</row>
    <row r="58" spans="1:23" ht="6" customHeight="1" x14ac:dyDescent="0.2">
      <c r="A58" s="197"/>
      <c r="B58" s="198"/>
      <c r="C58" s="199"/>
      <c r="D58" s="199"/>
      <c r="E58" s="182"/>
      <c r="F58" s="182"/>
      <c r="G58" s="182"/>
      <c r="H58" s="182"/>
      <c r="I58" s="182"/>
      <c r="J58" s="182"/>
      <c r="K58" s="182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</row>
    <row r="59" spans="1:23" x14ac:dyDescent="0.2">
      <c r="C59" s="186"/>
      <c r="D59" s="400" t="s">
        <v>239</v>
      </c>
      <c r="E59" s="186"/>
      <c r="H59" s="186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</row>
    <row r="60" spans="1:23" x14ac:dyDescent="0.2">
      <c r="B60" s="405" t="s">
        <v>240</v>
      </c>
      <c r="C60" s="409" t="s">
        <v>174</v>
      </c>
      <c r="D60" s="410"/>
      <c r="E60" s="411"/>
      <c r="F60" s="405" t="s">
        <v>232</v>
      </c>
      <c r="G60" s="188"/>
      <c r="H60" s="408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</row>
    <row r="61" spans="1:23" x14ac:dyDescent="0.2">
      <c r="B61" s="406" t="s">
        <v>233</v>
      </c>
      <c r="C61" s="407">
        <v>1800</v>
      </c>
      <c r="D61" s="407">
        <v>1950</v>
      </c>
      <c r="E61" s="407">
        <v>2100</v>
      </c>
      <c r="F61" s="407">
        <v>1800</v>
      </c>
      <c r="G61" s="196">
        <v>1950</v>
      </c>
      <c r="H61" s="196">
        <v>2100</v>
      </c>
      <c r="J61" s="444"/>
      <c r="K61" s="444"/>
      <c r="L61" s="44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</row>
    <row r="62" spans="1:23" x14ac:dyDescent="0.2">
      <c r="B62" s="342">
        <v>325</v>
      </c>
      <c r="C62" s="345">
        <f>369.79*(KONSTV)</f>
        <v>369.79</v>
      </c>
      <c r="D62" s="345">
        <f>421.93*(KONSTV)</f>
        <v>421.93</v>
      </c>
      <c r="E62" s="345" t="s">
        <v>74</v>
      </c>
      <c r="F62" s="345">
        <f>513.18*(KONSTV)</f>
        <v>513.17999999999995</v>
      </c>
      <c r="G62" s="345">
        <f>527.78*(KONSTV)</f>
        <v>527.78</v>
      </c>
      <c r="H62" s="345" t="s">
        <v>74</v>
      </c>
      <c r="J62" s="599"/>
      <c r="K62" s="599"/>
      <c r="L62" s="599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</row>
    <row r="63" spans="1:23" x14ac:dyDescent="0.2">
      <c r="B63" s="343">
        <v>475</v>
      </c>
      <c r="C63" s="344">
        <f>416.8*(KONSTV)</f>
        <v>416.8</v>
      </c>
      <c r="D63" s="344">
        <f>461.71*(KONSTV)</f>
        <v>461.71</v>
      </c>
      <c r="E63" s="345" t="s">
        <v>74</v>
      </c>
      <c r="F63" s="344">
        <f>630.94*(KONSTV)</f>
        <v>630.94000000000005</v>
      </c>
      <c r="G63" s="344">
        <f>525.69*(KONSTV)</f>
        <v>525.69000000000005</v>
      </c>
      <c r="H63" s="345" t="s">
        <v>74</v>
      </c>
      <c r="J63" s="599"/>
      <c r="K63" s="599"/>
      <c r="L63" s="599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</row>
    <row r="64" spans="1:23" x14ac:dyDescent="0.2">
      <c r="B64" s="343">
        <v>625</v>
      </c>
      <c r="C64" s="345">
        <f>428.28*(KONSTV)</f>
        <v>428.28</v>
      </c>
      <c r="D64" s="344">
        <f>476.34*(KONSTV)</f>
        <v>476.34</v>
      </c>
      <c r="E64" s="344">
        <f>528.58*(KONSTV)</f>
        <v>528.58000000000004</v>
      </c>
      <c r="F64" s="345">
        <f>541.38*(KONSTV)</f>
        <v>541.38</v>
      </c>
      <c r="G64" s="344">
        <f>651.85*(KONSTV)</f>
        <v>651.85</v>
      </c>
      <c r="H64" s="344">
        <f>770.92*(KONSTV)</f>
        <v>770.92</v>
      </c>
      <c r="I64" s="2"/>
      <c r="J64" s="599"/>
      <c r="K64" s="599"/>
      <c r="L64" s="599"/>
      <c r="M64" s="464"/>
      <c r="N64" s="464"/>
      <c r="O64" s="464"/>
      <c r="P64" s="464"/>
      <c r="Q64" s="464"/>
      <c r="R64" s="464"/>
      <c r="S64" s="464"/>
      <c r="T64" s="464"/>
      <c r="U64" s="464"/>
      <c r="V64" s="464"/>
      <c r="W64" s="464"/>
    </row>
    <row r="65" spans="1:24" x14ac:dyDescent="0.2">
      <c r="B65" s="343">
        <v>775</v>
      </c>
      <c r="C65" s="345" t="s">
        <v>74</v>
      </c>
      <c r="D65" s="345">
        <f>505.6*(KONSTV)</f>
        <v>505.6</v>
      </c>
      <c r="E65" s="344">
        <f>562.01*(KONSTV)</f>
        <v>562.01</v>
      </c>
      <c r="F65" s="345" t="s">
        <v>74</v>
      </c>
      <c r="G65" s="345">
        <f>688.92*(KONSTV)</f>
        <v>688.92</v>
      </c>
      <c r="H65" s="344">
        <f>815.33*(KONSTV)</f>
        <v>815.33</v>
      </c>
      <c r="I65" s="2"/>
      <c r="J65" s="599"/>
      <c r="K65" s="599"/>
      <c r="L65" s="599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</row>
    <row r="66" spans="1:24" ht="6.75" customHeight="1" x14ac:dyDescent="0.2">
      <c r="A66" s="182"/>
      <c r="B66" s="598"/>
      <c r="C66" s="600"/>
      <c r="D66" s="600"/>
      <c r="E66" s="599"/>
      <c r="F66" s="594"/>
      <c r="G66" s="598"/>
      <c r="H66" s="600"/>
      <c r="I66" s="600"/>
      <c r="J66" s="599"/>
      <c r="K66" s="599"/>
      <c r="L66" s="599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</row>
    <row r="67" spans="1:24" x14ac:dyDescent="0.2">
      <c r="A67" s="182"/>
      <c r="B67" s="2"/>
      <c r="C67" s="601"/>
      <c r="D67" s="609" t="s">
        <v>243</v>
      </c>
      <c r="E67" s="601"/>
      <c r="F67" s="2"/>
      <c r="G67" s="2"/>
      <c r="H67" s="601"/>
      <c r="I67" s="600"/>
      <c r="J67" s="599"/>
      <c r="K67" s="599"/>
      <c r="L67" s="599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</row>
    <row r="68" spans="1:24" x14ac:dyDescent="0.2">
      <c r="A68" s="182"/>
      <c r="B68" s="405" t="s">
        <v>240</v>
      </c>
      <c r="C68" s="718" t="s">
        <v>174</v>
      </c>
      <c r="D68" s="719"/>
      <c r="E68" s="720"/>
      <c r="F68" s="405" t="s">
        <v>232</v>
      </c>
      <c r="G68" s="188"/>
      <c r="H68" s="408"/>
      <c r="I68" s="600"/>
      <c r="J68" s="599"/>
      <c r="K68" s="599"/>
      <c r="L68" s="599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</row>
    <row r="69" spans="1:24" x14ac:dyDescent="0.2">
      <c r="A69" s="182"/>
      <c r="B69" s="406" t="s">
        <v>233</v>
      </c>
      <c r="C69" s="407">
        <v>1800</v>
      </c>
      <c r="D69" s="407">
        <v>1950</v>
      </c>
      <c r="E69" s="407">
        <v>2100</v>
      </c>
      <c r="F69" s="407">
        <v>1800</v>
      </c>
      <c r="G69" s="196">
        <v>1950</v>
      </c>
      <c r="H69" s="196">
        <v>2100</v>
      </c>
      <c r="I69" s="600"/>
      <c r="J69" s="599"/>
      <c r="K69" s="599"/>
      <c r="L69" s="599"/>
      <c r="M69" s="464"/>
      <c r="N69" s="464"/>
      <c r="O69" s="464"/>
      <c r="P69" s="464"/>
      <c r="Q69" s="464"/>
      <c r="R69" s="464"/>
      <c r="S69" s="464"/>
      <c r="T69" s="464"/>
      <c r="U69" s="464"/>
      <c r="V69" s="464"/>
      <c r="W69" s="464"/>
    </row>
    <row r="70" spans="1:24" x14ac:dyDescent="0.2">
      <c r="A70" s="182"/>
      <c r="B70" s="342">
        <v>405</v>
      </c>
      <c r="C70" s="345">
        <f>378.16*(KONSTV)</f>
        <v>378.16</v>
      </c>
      <c r="D70" s="345">
        <f>426.2*(KONSTV)</f>
        <v>426.2</v>
      </c>
      <c r="E70" s="345" t="s">
        <v>74</v>
      </c>
      <c r="F70" s="345">
        <f>516.55*(KONSTV)</f>
        <v>516.54999999999995</v>
      </c>
      <c r="G70" s="345">
        <f>539.81*(KONSTV)</f>
        <v>539.80999999999995</v>
      </c>
      <c r="H70" s="345" t="s">
        <v>74</v>
      </c>
      <c r="I70" s="600"/>
      <c r="J70" s="599"/>
      <c r="K70" s="599"/>
      <c r="L70" s="599"/>
      <c r="M70" s="464"/>
      <c r="N70" s="464"/>
      <c r="O70" s="464"/>
      <c r="P70" s="464"/>
      <c r="Q70" s="464"/>
      <c r="R70" s="464"/>
      <c r="S70" s="464"/>
      <c r="T70" s="464"/>
      <c r="U70" s="464"/>
      <c r="V70" s="464"/>
      <c r="W70" s="464"/>
    </row>
    <row r="71" spans="1:24" x14ac:dyDescent="0.2">
      <c r="A71" s="182"/>
      <c r="B71" s="343">
        <v>555</v>
      </c>
      <c r="C71" s="344">
        <f>472.17*(KONSTV)</f>
        <v>472.17</v>
      </c>
      <c r="D71" s="344">
        <f>393.82*(KONSTV)</f>
        <v>393.82</v>
      </c>
      <c r="E71" s="345" t="s">
        <v>74</v>
      </c>
      <c r="F71" s="344">
        <f>645.31*(KONSTV)</f>
        <v>645.30999999999995</v>
      </c>
      <c r="G71" s="344">
        <f>536.15*(KONSTV)</f>
        <v>536.15</v>
      </c>
      <c r="H71" s="345" t="s">
        <v>74</v>
      </c>
      <c r="I71" s="600"/>
      <c r="J71" s="599"/>
      <c r="K71" s="599"/>
      <c r="L71" s="599"/>
      <c r="M71" s="464"/>
      <c r="N71" s="464"/>
      <c r="O71" s="464"/>
      <c r="P71" s="464"/>
      <c r="Q71" s="464"/>
      <c r="R71" s="464"/>
      <c r="S71" s="464"/>
      <c r="T71" s="464"/>
      <c r="U71" s="464"/>
      <c r="V71" s="464"/>
      <c r="W71" s="464"/>
    </row>
    <row r="72" spans="1:24" x14ac:dyDescent="0.2">
      <c r="A72" s="182"/>
      <c r="B72" s="343">
        <v>705</v>
      </c>
      <c r="C72" s="345">
        <f>441.88*(KONSTV)</f>
        <v>441.88</v>
      </c>
      <c r="D72" s="344">
        <f>492.01*(KONSTV)</f>
        <v>492.01</v>
      </c>
      <c r="E72" s="344">
        <f>545.29*(KONSTV)</f>
        <v>545.29</v>
      </c>
      <c r="F72" s="345">
        <f>558.61*(KONSTV)</f>
        <v>558.61</v>
      </c>
      <c r="G72" s="344">
        <f>673.25*(KONSTV)</f>
        <v>673.25</v>
      </c>
      <c r="H72" s="344">
        <f>795.47*(KONSTV)</f>
        <v>795.47</v>
      </c>
      <c r="I72" s="600"/>
      <c r="J72" s="599"/>
      <c r="K72" s="599"/>
      <c r="L72" s="599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</row>
    <row r="73" spans="1:24" ht="12.75" customHeight="1" x14ac:dyDescent="0.2">
      <c r="A73" s="195"/>
      <c r="B73" s="343">
        <v>805</v>
      </c>
      <c r="C73" s="345" t="s">
        <v>74</v>
      </c>
      <c r="D73" s="345">
        <f>508.72*(KONSTV)</f>
        <v>508.72</v>
      </c>
      <c r="E73" s="344">
        <f>565.13*(KONSTV)</f>
        <v>565.13</v>
      </c>
      <c r="F73" s="345" t="s">
        <v>74</v>
      </c>
      <c r="G73" s="345">
        <f>692.83*(KONSTV)</f>
        <v>692.83</v>
      </c>
      <c r="H73" s="344">
        <f>820.81*(KONSTV)</f>
        <v>820.81</v>
      </c>
      <c r="I73" s="604"/>
      <c r="J73" s="599"/>
      <c r="K73" s="599"/>
      <c r="L73" s="599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</row>
    <row r="74" spans="1:24" ht="6" customHeight="1" x14ac:dyDescent="0.2">
      <c r="A74" s="195"/>
      <c r="B74" s="402"/>
      <c r="C74" s="403"/>
      <c r="D74" s="403"/>
      <c r="E74" s="404"/>
      <c r="F74" s="403"/>
      <c r="G74" s="403"/>
      <c r="H74" s="404"/>
      <c r="I74" s="181"/>
      <c r="J74" s="181"/>
      <c r="K74" s="182"/>
    </row>
    <row r="75" spans="1:24" x14ac:dyDescent="0.2">
      <c r="A75" s="717" t="s">
        <v>75</v>
      </c>
      <c r="B75" s="717"/>
      <c r="C75" s="717"/>
      <c r="D75" s="717"/>
      <c r="E75" s="717"/>
      <c r="F75" s="717"/>
      <c r="G75" s="717"/>
      <c r="H75" s="717"/>
      <c r="I75" s="717"/>
      <c r="J75" s="717"/>
      <c r="K75" s="717"/>
    </row>
    <row r="76" spans="1:24" x14ac:dyDescent="0.2">
      <c r="B76" s="195" t="s">
        <v>382</v>
      </c>
      <c r="C76" s="186"/>
      <c r="D76" s="186"/>
      <c r="E76" s="590"/>
      <c r="F76" s="590"/>
      <c r="G76" s="195" t="s">
        <v>234</v>
      </c>
      <c r="H76" s="186"/>
      <c r="I76" s="186"/>
      <c r="J76" s="186"/>
      <c r="K76" s="590"/>
    </row>
    <row r="77" spans="1:24" x14ac:dyDescent="0.2">
      <c r="B77" s="188"/>
      <c r="C77" s="408" t="s">
        <v>174</v>
      </c>
      <c r="D77" s="666"/>
      <c r="E77" s="667"/>
      <c r="F77" s="590"/>
      <c r="G77" s="188"/>
      <c r="H77" s="408" t="s">
        <v>174</v>
      </c>
      <c r="I77" s="666"/>
      <c r="J77" s="667"/>
    </row>
    <row r="78" spans="1:24" x14ac:dyDescent="0.2">
      <c r="B78" s="192" t="s">
        <v>233</v>
      </c>
      <c r="C78" s="196">
        <v>1800</v>
      </c>
      <c r="D78" s="196">
        <v>1950</v>
      </c>
      <c r="E78" s="196">
        <v>2100</v>
      </c>
      <c r="F78" s="590"/>
      <c r="G78" s="192" t="s">
        <v>233</v>
      </c>
      <c r="H78" s="196">
        <v>1800</v>
      </c>
      <c r="I78" s="196">
        <v>1950</v>
      </c>
      <c r="J78" s="196">
        <v>2100</v>
      </c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</row>
    <row r="79" spans="1:24" x14ac:dyDescent="0.2">
      <c r="B79" s="342">
        <v>300</v>
      </c>
      <c r="C79" s="345" t="s">
        <v>74</v>
      </c>
      <c r="D79" s="345" t="s">
        <v>74</v>
      </c>
      <c r="E79" s="345" t="s">
        <v>74</v>
      </c>
      <c r="F79" s="590"/>
      <c r="G79" s="342">
        <v>300</v>
      </c>
      <c r="H79" s="345">
        <f>205.65*(KONSTV)</f>
        <v>205.65</v>
      </c>
      <c r="I79" s="345">
        <f>209.5*(KONSTV)</f>
        <v>209.5</v>
      </c>
      <c r="J79" s="345">
        <f>226.48*(KONSTV)</f>
        <v>226.48</v>
      </c>
      <c r="M79" s="599"/>
      <c r="N79" s="599"/>
      <c r="O79" s="599"/>
      <c r="P79" s="482"/>
      <c r="Q79" s="482"/>
      <c r="R79" s="482"/>
      <c r="S79" s="482"/>
      <c r="T79" s="599"/>
      <c r="U79" s="599"/>
      <c r="V79" s="599"/>
      <c r="W79" s="599"/>
    </row>
    <row r="80" spans="1:24" x14ac:dyDescent="0.2">
      <c r="B80" s="343">
        <v>450</v>
      </c>
      <c r="C80" s="344">
        <f>126.78*(KONSTV)</f>
        <v>126.78</v>
      </c>
      <c r="D80" s="344">
        <f>131.63*(KONSTV)</f>
        <v>131.63</v>
      </c>
      <c r="E80" s="345">
        <f>139.63*(KONSTV)</f>
        <v>139.63</v>
      </c>
      <c r="F80" s="590"/>
      <c r="G80" s="343">
        <v>450</v>
      </c>
      <c r="H80" s="344">
        <f>218.21*(KONSTV)</f>
        <v>218.21</v>
      </c>
      <c r="I80" s="344">
        <f>221.2*(KONSTV)</f>
        <v>221.2</v>
      </c>
      <c r="J80" s="345">
        <f>236.17*(KONSTV)</f>
        <v>236.17</v>
      </c>
      <c r="L80" s="482"/>
      <c r="M80" s="482"/>
      <c r="N80" s="482"/>
      <c r="O80" s="482"/>
      <c r="P80" s="482"/>
      <c r="Q80" s="482"/>
      <c r="R80" s="482"/>
      <c r="S80" s="482"/>
      <c r="T80" s="482"/>
      <c r="U80" s="482"/>
      <c r="V80" s="482"/>
      <c r="W80" s="482"/>
      <c r="X80" s="482"/>
    </row>
    <row r="81" spans="1:24" x14ac:dyDescent="0.2">
      <c r="B81" s="343">
        <v>600</v>
      </c>
      <c r="C81" s="344">
        <f>141.61*(KONSTV)</f>
        <v>141.61000000000001</v>
      </c>
      <c r="D81" s="345">
        <f>148.04*(KONSTV)</f>
        <v>148.04</v>
      </c>
      <c r="E81" s="345">
        <f>155.59*(KONSTV)</f>
        <v>155.59</v>
      </c>
      <c r="F81" s="590"/>
      <c r="G81" s="343">
        <v>600</v>
      </c>
      <c r="H81" s="344">
        <f>244.88*(KONSTV)</f>
        <v>244.88</v>
      </c>
      <c r="I81" s="345">
        <f>245.58*(KONSTV)</f>
        <v>245.58</v>
      </c>
      <c r="J81" s="345">
        <f>261.99*(KONSTV)</f>
        <v>261.99</v>
      </c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</row>
    <row r="82" spans="1:24" ht="12.75" customHeight="1" x14ac:dyDescent="0.2">
      <c r="B82" s="343">
        <v>750</v>
      </c>
      <c r="C82" s="345">
        <f>160.73*(KONSTV)</f>
        <v>160.72999999999999</v>
      </c>
      <c r="D82" s="344">
        <f>168.15*(KONSTV)</f>
        <v>168.15</v>
      </c>
      <c r="E82" s="345">
        <f>177.56*(KONSTV)</f>
        <v>177.56</v>
      </c>
      <c r="F82" s="182"/>
      <c r="G82" s="343">
        <v>750</v>
      </c>
      <c r="H82" s="345">
        <f>268.4*(KONSTV)</f>
        <v>268.39999999999998</v>
      </c>
      <c r="I82" s="344">
        <f>286.52*(KONSTV)</f>
        <v>286.52</v>
      </c>
      <c r="J82" s="345">
        <f>306.34*(KONSTV)</f>
        <v>306.33999999999997</v>
      </c>
      <c r="L82" s="482"/>
      <c r="M82" s="482"/>
      <c r="N82" s="482"/>
      <c r="O82" s="482"/>
      <c r="P82" s="482"/>
      <c r="Q82" s="482"/>
      <c r="R82" s="482"/>
      <c r="S82" s="482"/>
      <c r="T82" s="482"/>
      <c r="U82" s="482"/>
      <c r="V82" s="482"/>
      <c r="W82" s="482"/>
      <c r="X82" s="482"/>
    </row>
    <row r="83" spans="1:24" ht="7.5" customHeight="1" x14ac:dyDescent="0.2">
      <c r="B83" s="598"/>
      <c r="C83" s="599"/>
      <c r="D83" s="600"/>
      <c r="E83" s="604"/>
      <c r="F83" s="182"/>
      <c r="G83" s="181"/>
      <c r="H83" s="181"/>
      <c r="I83" s="181"/>
      <c r="J83" s="182"/>
      <c r="L83" s="482"/>
      <c r="M83" s="482"/>
      <c r="N83" s="482"/>
      <c r="O83" s="482"/>
      <c r="P83" s="482"/>
      <c r="Q83" s="482"/>
      <c r="R83" s="482"/>
      <c r="S83" s="482"/>
      <c r="T83" s="599"/>
      <c r="U83" s="599"/>
      <c r="V83" s="599"/>
      <c r="W83" s="444"/>
    </row>
    <row r="84" spans="1:24" x14ac:dyDescent="0.2">
      <c r="B84" s="195" t="s">
        <v>232</v>
      </c>
      <c r="C84" s="601"/>
      <c r="D84" s="601"/>
      <c r="E84" s="612"/>
      <c r="F84" s="182"/>
      <c r="G84" s="195" t="s">
        <v>73</v>
      </c>
      <c r="H84" s="186"/>
      <c r="I84" s="186"/>
      <c r="J84" s="182"/>
      <c r="L84" s="482"/>
      <c r="M84" s="482"/>
      <c r="N84" s="482"/>
      <c r="O84" s="482"/>
      <c r="P84" s="482"/>
      <c r="Q84" s="482"/>
      <c r="R84" s="482"/>
      <c r="S84" s="482"/>
      <c r="T84" s="599"/>
      <c r="U84" s="599"/>
      <c r="V84" s="599"/>
      <c r="W84" s="444"/>
    </row>
    <row r="85" spans="1:24" x14ac:dyDescent="0.2">
      <c r="B85" s="188"/>
      <c r="C85" s="408" t="s">
        <v>174</v>
      </c>
      <c r="D85" s="666"/>
      <c r="E85" s="667"/>
      <c r="F85" s="248"/>
      <c r="G85" s="188"/>
      <c r="H85" s="408" t="s">
        <v>174</v>
      </c>
      <c r="I85" s="666"/>
      <c r="J85" s="667"/>
      <c r="L85" s="482"/>
      <c r="M85" s="482"/>
      <c r="N85" s="482"/>
      <c r="O85" s="482"/>
      <c r="P85" s="482"/>
      <c r="Q85" s="482"/>
      <c r="R85" s="482"/>
      <c r="S85" s="482"/>
      <c r="T85" s="599"/>
      <c r="U85" s="599"/>
      <c r="V85" s="599"/>
      <c r="W85" s="444"/>
    </row>
    <row r="86" spans="1:24" x14ac:dyDescent="0.2">
      <c r="B86" s="192" t="s">
        <v>233</v>
      </c>
      <c r="C86" s="196">
        <v>1800</v>
      </c>
      <c r="D86" s="196">
        <v>1950</v>
      </c>
      <c r="E86" s="196">
        <v>2100</v>
      </c>
      <c r="F86" s="182"/>
      <c r="G86" s="192" t="s">
        <v>233</v>
      </c>
      <c r="H86" s="196">
        <v>1800</v>
      </c>
      <c r="I86" s="196">
        <v>1950</v>
      </c>
      <c r="J86" s="196">
        <v>2100</v>
      </c>
      <c r="L86" s="482"/>
      <c r="M86" s="482"/>
      <c r="N86" s="482"/>
      <c r="O86" s="482"/>
      <c r="P86" s="482"/>
      <c r="Q86" s="482"/>
      <c r="R86" s="482"/>
      <c r="S86" s="482"/>
      <c r="T86" s="599"/>
      <c r="U86" s="599"/>
      <c r="V86" s="599"/>
      <c r="W86" s="444"/>
    </row>
    <row r="87" spans="1:24" x14ac:dyDescent="0.2">
      <c r="B87" s="342">
        <v>300</v>
      </c>
      <c r="C87" s="345">
        <f>272.54*(KONSTV)</f>
        <v>272.54000000000002</v>
      </c>
      <c r="D87" s="345">
        <f>285.66*(KONSTV)</f>
        <v>285.66000000000003</v>
      </c>
      <c r="E87" s="345">
        <f>298.35*(KONSTV)</f>
        <v>298.35000000000002</v>
      </c>
      <c r="F87" s="182"/>
      <c r="G87" s="342">
        <v>300</v>
      </c>
      <c r="H87" s="345">
        <f>332.16*(KONSTV)</f>
        <v>332.16</v>
      </c>
      <c r="I87" s="345">
        <f>353.83*(KONSTV)</f>
        <v>353.83</v>
      </c>
      <c r="J87" s="345">
        <f>373.93*(KONSTV)</f>
        <v>373.93</v>
      </c>
      <c r="L87" s="482"/>
      <c r="M87" s="482"/>
      <c r="N87" s="482"/>
      <c r="O87" s="482"/>
      <c r="P87" s="482"/>
      <c r="Q87" s="482"/>
      <c r="R87" s="482"/>
      <c r="S87" s="482"/>
      <c r="T87" s="599"/>
      <c r="U87" s="599"/>
      <c r="V87" s="599"/>
      <c r="W87" s="444"/>
    </row>
    <row r="88" spans="1:24" x14ac:dyDescent="0.2">
      <c r="B88" s="343">
        <v>450</v>
      </c>
      <c r="C88" s="344">
        <f>291.22*(KONSTV)</f>
        <v>291.22000000000003</v>
      </c>
      <c r="D88" s="344">
        <f>301.64*(KONSTV)</f>
        <v>301.64</v>
      </c>
      <c r="E88" s="345">
        <f>316.75*(KONSTV)</f>
        <v>316.75</v>
      </c>
      <c r="F88" s="182"/>
      <c r="G88" s="343">
        <v>450</v>
      </c>
      <c r="H88" s="344">
        <f>346.98*(KONSTV)</f>
        <v>346.98</v>
      </c>
      <c r="I88" s="344">
        <f>365.24*(KONSTV)</f>
        <v>365.24</v>
      </c>
      <c r="J88" s="345">
        <f>406.88*(KONSTV)</f>
        <v>406.88</v>
      </c>
      <c r="L88" s="482"/>
      <c r="M88" s="482"/>
      <c r="N88" s="482"/>
      <c r="O88" s="482"/>
      <c r="P88" s="482"/>
      <c r="Q88" s="482"/>
      <c r="R88" s="482"/>
      <c r="S88" s="482"/>
      <c r="T88" s="599"/>
      <c r="U88" s="599"/>
      <c r="V88" s="599"/>
      <c r="W88" s="444"/>
    </row>
    <row r="89" spans="1:24" x14ac:dyDescent="0.2">
      <c r="B89" s="343">
        <v>600</v>
      </c>
      <c r="C89" s="344">
        <f>337.72*(KONSTV)</f>
        <v>337.72</v>
      </c>
      <c r="D89" s="345">
        <f>351.55*(KONSTV)</f>
        <v>351.55</v>
      </c>
      <c r="E89" s="345">
        <f>369.09*(KONSTV)</f>
        <v>369.09</v>
      </c>
      <c r="F89" s="182"/>
      <c r="G89" s="343">
        <v>600</v>
      </c>
      <c r="H89" s="344">
        <f>395.48*(KONSTV)</f>
        <v>395.48</v>
      </c>
      <c r="I89" s="345">
        <f>416.3*(KONSTV)</f>
        <v>416.3</v>
      </c>
      <c r="J89" s="345">
        <f>463.93*(KONSTV)</f>
        <v>463.93</v>
      </c>
      <c r="L89" s="482"/>
      <c r="M89" s="482"/>
      <c r="N89" s="482"/>
      <c r="O89" s="482"/>
      <c r="P89" s="482"/>
      <c r="Q89" s="482"/>
      <c r="R89" s="482"/>
      <c r="S89" s="482"/>
      <c r="T89" s="599"/>
      <c r="U89" s="599"/>
      <c r="V89" s="599"/>
      <c r="W89" s="444"/>
    </row>
    <row r="90" spans="1:24" x14ac:dyDescent="0.2">
      <c r="B90" s="343">
        <v>750</v>
      </c>
      <c r="C90" s="345">
        <f>387.2*(KONSTV)</f>
        <v>387.2</v>
      </c>
      <c r="D90" s="344">
        <f>404.89*(KONSTV)</f>
        <v>404.89</v>
      </c>
      <c r="E90" s="345">
        <f>424.85*(KONSTV)</f>
        <v>424.85</v>
      </c>
      <c r="F90" s="182"/>
      <c r="G90" s="343">
        <v>750</v>
      </c>
      <c r="H90" s="345">
        <f>467.35*(KONSTV)</f>
        <v>467.35</v>
      </c>
      <c r="I90" s="344">
        <f>492.31*(KONSTV)</f>
        <v>492.31</v>
      </c>
      <c r="J90" s="345">
        <f>523.68*(KONSTV)</f>
        <v>523.67999999999995</v>
      </c>
      <c r="L90" s="482"/>
      <c r="M90" s="482"/>
      <c r="N90" s="482"/>
      <c r="O90" s="482"/>
      <c r="P90" s="482"/>
      <c r="Q90" s="482"/>
      <c r="R90" s="482"/>
      <c r="S90" s="482"/>
      <c r="T90" s="599"/>
      <c r="U90" s="599"/>
      <c r="V90" s="599"/>
      <c r="W90" s="444"/>
    </row>
    <row r="91" spans="1:24" ht="6.75" customHeight="1" x14ac:dyDescent="0.2">
      <c r="A91" s="182"/>
      <c r="B91" s="181"/>
      <c r="C91" s="181"/>
      <c r="D91" s="181"/>
      <c r="E91" s="178"/>
      <c r="F91" s="179"/>
      <c r="G91" s="178"/>
      <c r="H91" s="178"/>
      <c r="I91" s="178"/>
      <c r="J91" s="178"/>
      <c r="K91" s="179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</row>
    <row r="92" spans="1:24" x14ac:dyDescent="0.2">
      <c r="A92" s="264" t="s">
        <v>235</v>
      </c>
    </row>
    <row r="93" spans="1:24" ht="12" customHeight="1" x14ac:dyDescent="0.2">
      <c r="A93" s="264" t="s">
        <v>184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57:K57"/>
    <mergeCell ref="A75:K75"/>
    <mergeCell ref="C68:E68"/>
    <mergeCell ref="A1:K1"/>
    <mergeCell ref="B23:E23"/>
    <mergeCell ref="C40:E40"/>
    <mergeCell ref="C48:E48"/>
    <mergeCell ref="B9:E9"/>
    <mergeCell ref="H9:K9"/>
    <mergeCell ref="H23:K23"/>
    <mergeCell ref="G40:I40"/>
    <mergeCell ref="G48:I48"/>
    <mergeCell ref="A7:K7"/>
    <mergeCell ref="A37:K37"/>
  </mergeCells>
  <phoneticPr fontId="3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workbookViewId="0">
      <selection activeCell="D4" sqref="D4"/>
    </sheetView>
  </sheetViews>
  <sheetFormatPr defaultRowHeight="12.75" x14ac:dyDescent="0.2"/>
  <cols>
    <col min="6" max="6" width="13" bestFit="1" customWidth="1"/>
  </cols>
  <sheetData>
    <row r="1" spans="1:27" ht="19.5" x14ac:dyDescent="0.25">
      <c r="A1" s="721" t="s">
        <v>400</v>
      </c>
      <c r="B1" s="721"/>
      <c r="C1" s="721"/>
      <c r="D1" s="721"/>
      <c r="E1" s="721"/>
      <c r="F1" s="721"/>
      <c r="G1" s="721"/>
      <c r="H1" s="721"/>
      <c r="I1" s="721"/>
      <c r="J1" s="668"/>
      <c r="K1" s="668"/>
    </row>
    <row r="2" spans="1:27" x14ac:dyDescent="0.2">
      <c r="A2" s="202" t="s">
        <v>416</v>
      </c>
      <c r="B2" s="181"/>
      <c r="C2" s="181"/>
      <c r="D2" s="181"/>
      <c r="E2" s="181"/>
      <c r="F2" s="182"/>
      <c r="G2" s="182"/>
      <c r="H2" s="182"/>
      <c r="I2" s="182"/>
      <c r="J2" s="183"/>
      <c r="K2" s="183"/>
    </row>
    <row r="3" spans="1:27" x14ac:dyDescent="0.2">
      <c r="A3" s="180"/>
      <c r="B3" s="181"/>
      <c r="C3" s="181"/>
      <c r="D3" s="181"/>
      <c r="E3" s="181"/>
      <c r="F3" s="182"/>
      <c r="G3" s="182"/>
      <c r="H3" s="182"/>
      <c r="I3" s="182"/>
      <c r="J3" s="183"/>
      <c r="K3" s="183"/>
    </row>
    <row r="4" spans="1:27" x14ac:dyDescent="0.2">
      <c r="A4" s="180"/>
      <c r="B4" s="181"/>
      <c r="C4" s="184" t="s">
        <v>172</v>
      </c>
      <c r="D4" s="200">
        <v>0</v>
      </c>
      <c r="G4" s="182"/>
      <c r="H4" s="182"/>
      <c r="I4" s="182"/>
      <c r="J4" s="183"/>
      <c r="K4" s="183"/>
    </row>
    <row r="5" spans="1:27" x14ac:dyDescent="0.2">
      <c r="A5" s="180"/>
      <c r="B5" s="181"/>
      <c r="C5" s="181"/>
      <c r="D5" s="181"/>
      <c r="E5" s="181"/>
      <c r="F5" s="182"/>
      <c r="G5" s="182"/>
      <c r="H5" s="182"/>
      <c r="I5" s="182"/>
      <c r="J5" s="183"/>
      <c r="K5" s="183"/>
    </row>
    <row r="6" spans="1:27" x14ac:dyDescent="0.2">
      <c r="A6" s="254" t="s">
        <v>171</v>
      </c>
      <c r="B6" s="181"/>
      <c r="C6" s="181"/>
      <c r="D6" s="181"/>
      <c r="E6" s="181"/>
      <c r="F6" s="182"/>
      <c r="G6" s="182"/>
      <c r="H6" s="182"/>
      <c r="I6" s="182"/>
      <c r="J6" s="182"/>
      <c r="K6" s="182"/>
    </row>
    <row r="7" spans="1:27" x14ac:dyDescent="0.2">
      <c r="A7" s="641">
        <f>1-D4</f>
        <v>1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</row>
    <row r="8" spans="1:27" x14ac:dyDescent="0.2">
      <c r="A8" s="610" t="s">
        <v>401</v>
      </c>
      <c r="B8" s="592"/>
      <c r="C8" s="592"/>
      <c r="D8" s="592"/>
      <c r="E8" s="592"/>
      <c r="F8" s="592"/>
    </row>
    <row r="9" spans="1:27" x14ac:dyDescent="0.2">
      <c r="A9" s="187" t="s">
        <v>234</v>
      </c>
      <c r="B9" s="728" t="s">
        <v>174</v>
      </c>
      <c r="C9" s="729"/>
      <c r="D9" s="729"/>
      <c r="E9" s="730"/>
      <c r="F9" s="182"/>
    </row>
    <row r="10" spans="1:27" x14ac:dyDescent="0.2">
      <c r="A10" s="189" t="s">
        <v>233</v>
      </c>
      <c r="B10" s="190">
        <v>400</v>
      </c>
      <c r="C10" s="190">
        <v>600</v>
      </c>
      <c r="D10" s="190">
        <v>750</v>
      </c>
      <c r="E10" s="191">
        <v>900</v>
      </c>
      <c r="F10" s="182"/>
    </row>
    <row r="11" spans="1:27" x14ac:dyDescent="0.2">
      <c r="A11" s="343">
        <v>450</v>
      </c>
      <c r="B11" s="344">
        <f>255.32*(CONSTV)</f>
        <v>255.32</v>
      </c>
      <c r="C11" s="593">
        <f>258.62*(CONSTV)</f>
        <v>258.62</v>
      </c>
      <c r="D11" s="593">
        <f>280.41*(CONSTV)</f>
        <v>280.41000000000003</v>
      </c>
      <c r="E11" s="593">
        <f>286.25*(CONSTV)</f>
        <v>286.25</v>
      </c>
      <c r="F11" s="1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</row>
    <row r="12" spans="1:27" x14ac:dyDescent="0.2">
      <c r="A12" s="343">
        <v>600</v>
      </c>
      <c r="B12" s="593">
        <f>258.62*(CONSTV)</f>
        <v>258.62</v>
      </c>
      <c r="C12" s="593">
        <f>273.22*(CONSTV)</f>
        <v>273.22000000000003</v>
      </c>
      <c r="D12" s="593">
        <f>294.04*(CONSTV)</f>
        <v>294.04000000000002</v>
      </c>
      <c r="E12" s="593">
        <f>305.91*(CONSTV)</f>
        <v>305.91000000000003</v>
      </c>
      <c r="F12" s="1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</row>
    <row r="13" spans="1:27" x14ac:dyDescent="0.2">
      <c r="A13" s="343">
        <v>750</v>
      </c>
      <c r="B13" s="593">
        <f>269.32*(CONSTV)</f>
        <v>269.32</v>
      </c>
      <c r="C13" s="593">
        <f>286.25*(CONSTV)</f>
        <v>286.25</v>
      </c>
      <c r="D13" s="593">
        <f>308.05*(CONSTV)</f>
        <v>308.05</v>
      </c>
      <c r="E13" s="593">
        <f>326.92*(CONSTV)</f>
        <v>326.92</v>
      </c>
      <c r="F13" s="1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</row>
    <row r="14" spans="1:27" x14ac:dyDescent="0.2">
      <c r="A14" s="343">
        <v>900</v>
      </c>
      <c r="B14" s="593">
        <f>281.19*(CONSTV)</f>
        <v>281.19</v>
      </c>
      <c r="C14" s="344">
        <f>304.15*(CONSTV)</f>
        <v>304.14999999999998</v>
      </c>
      <c r="D14" s="593">
        <f>329.45*(CONSTV)</f>
        <v>329.45</v>
      </c>
      <c r="E14" s="593">
        <f>351.44*(CONSTV)</f>
        <v>351.44</v>
      </c>
      <c r="F14" s="1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</row>
    <row r="15" spans="1:27" x14ac:dyDescent="0.2">
      <c r="A15" s="343">
        <v>1050</v>
      </c>
      <c r="B15" s="593">
        <f>298.13*(CONSTV)</f>
        <v>298.13</v>
      </c>
      <c r="C15" s="344">
        <f>324.78*(CONSTV)</f>
        <v>324.77999999999997</v>
      </c>
      <c r="D15" s="593">
        <f>353.2*(CONSTV)</f>
        <v>353.2</v>
      </c>
      <c r="E15" s="593">
        <f>382.19*(CONSTV)</f>
        <v>382.19</v>
      </c>
      <c r="F15" s="1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</row>
    <row r="18" spans="1:5" x14ac:dyDescent="0.2">
      <c r="A18" s="611" t="s">
        <v>402</v>
      </c>
      <c r="B18" s="592"/>
      <c r="C18" s="592"/>
      <c r="D18" s="592"/>
      <c r="E18" s="592"/>
    </row>
    <row r="19" spans="1:5" x14ac:dyDescent="0.2">
      <c r="A19" s="187" t="s">
        <v>232</v>
      </c>
      <c r="B19" s="728" t="s">
        <v>174</v>
      </c>
      <c r="C19" s="729"/>
      <c r="D19" s="729"/>
      <c r="E19" s="730"/>
    </row>
    <row r="20" spans="1:5" x14ac:dyDescent="0.2">
      <c r="A20" s="189" t="s">
        <v>233</v>
      </c>
      <c r="B20" s="190">
        <v>400</v>
      </c>
      <c r="C20" s="190">
        <v>600</v>
      </c>
      <c r="D20" s="190">
        <v>750</v>
      </c>
      <c r="E20" s="191">
        <v>900</v>
      </c>
    </row>
    <row r="21" spans="1:5" x14ac:dyDescent="0.2">
      <c r="A21" s="343">
        <v>450</v>
      </c>
      <c r="B21" s="344">
        <f>344.42*(CONSTV)</f>
        <v>344.42</v>
      </c>
      <c r="C21" s="345">
        <f>348.69*(CONSTV)</f>
        <v>348.69</v>
      </c>
      <c r="D21" s="345">
        <f>378.45*(CONSTV)</f>
        <v>378.45</v>
      </c>
      <c r="E21" s="345">
        <f>385.9*(CONSTV)</f>
        <v>385.9</v>
      </c>
    </row>
    <row r="22" spans="1:5" x14ac:dyDescent="0.2">
      <c r="A22" s="343">
        <v>600</v>
      </c>
      <c r="B22" s="345">
        <f>348.69*(CONSTV)</f>
        <v>348.69</v>
      </c>
      <c r="C22" s="345">
        <f>368.89*(CONSTV)</f>
        <v>368.89</v>
      </c>
      <c r="D22" s="345">
        <f>396.54*(CONSTV)</f>
        <v>396.54</v>
      </c>
      <c r="E22" s="345">
        <f>412.47*(CONSTV)</f>
        <v>412.47</v>
      </c>
    </row>
    <row r="23" spans="1:5" x14ac:dyDescent="0.2">
      <c r="A23" s="343">
        <v>750</v>
      </c>
      <c r="B23" s="345">
        <f>363.57*(CONSTV)</f>
        <v>363.57</v>
      </c>
      <c r="C23" s="345">
        <f>385.9*(CONSTV)</f>
        <v>385.9</v>
      </c>
      <c r="D23" s="345">
        <f>415.66*(CONSTV)</f>
        <v>415.66</v>
      </c>
      <c r="E23" s="345">
        <f>441.18*(CONSTV)</f>
        <v>441.18</v>
      </c>
    </row>
    <row r="24" spans="1:5" x14ac:dyDescent="0.2">
      <c r="A24" s="343">
        <v>900</v>
      </c>
      <c r="B24" s="345">
        <f>379.52*(CONSTV)</f>
        <v>379.52</v>
      </c>
      <c r="C24" s="344">
        <f>410.4*(CONSTV)</f>
        <v>410.4</v>
      </c>
      <c r="D24" s="345">
        <f>444.37*(CONSTV)</f>
        <v>444.37</v>
      </c>
      <c r="E24" s="345">
        <f>474.13*(CONSTV)</f>
        <v>474.13</v>
      </c>
    </row>
    <row r="25" spans="1:5" x14ac:dyDescent="0.2">
      <c r="A25" s="343">
        <v>1050</v>
      </c>
      <c r="B25" s="345">
        <f>401.84*(CONSTV)</f>
        <v>401.84</v>
      </c>
      <c r="C25" s="344">
        <f>425.45*(CONSTV)</f>
        <v>425.45</v>
      </c>
      <c r="D25" s="345">
        <f>476.26*(CONSTV)</f>
        <v>476.26</v>
      </c>
      <c r="E25" s="345">
        <f>515.59*(CONSTV)</f>
        <v>515.59</v>
      </c>
    </row>
  </sheetData>
  <mergeCells count="3">
    <mergeCell ref="B9:E9"/>
    <mergeCell ref="B19:E19"/>
    <mergeCell ref="A1:I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4" zoomScaleNormal="100" workbookViewId="0">
      <selection activeCell="M13" sqref="M13"/>
    </sheetView>
  </sheetViews>
  <sheetFormatPr defaultRowHeight="12.75" x14ac:dyDescent="0.2"/>
  <cols>
    <col min="1" max="1" width="10.7109375" customWidth="1"/>
    <col min="2" max="2" width="8" customWidth="1"/>
    <col min="3" max="3" width="7.28515625" customWidth="1"/>
    <col min="4" max="4" width="8.7109375" customWidth="1"/>
    <col min="5" max="5" width="7.85546875" customWidth="1"/>
    <col min="6" max="6" width="7.42578125" customWidth="1"/>
    <col min="7" max="7" width="0.7109375" customWidth="1"/>
    <col min="8" max="8" width="13.140625" customWidth="1"/>
    <col min="9" max="9" width="8.140625" customWidth="1"/>
    <col min="10" max="10" width="7.42578125" customWidth="1"/>
    <col min="11" max="11" width="6.5703125" customWidth="1"/>
    <col min="12" max="12" width="9.140625" customWidth="1"/>
    <col min="13" max="13" width="7.85546875" customWidth="1"/>
  </cols>
  <sheetData>
    <row r="1" spans="1:13" ht="15" x14ac:dyDescent="0.2">
      <c r="A1" s="735" t="s">
        <v>419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</row>
    <row r="2" spans="1:13" x14ac:dyDescent="0.2">
      <c r="A2" s="217" t="s">
        <v>366</v>
      </c>
      <c r="B2" s="218"/>
      <c r="C2" s="218"/>
      <c r="D2" s="218"/>
      <c r="E2" s="218"/>
      <c r="F2" s="218"/>
      <c r="G2" s="218"/>
      <c r="H2" s="218"/>
      <c r="I2" s="218"/>
      <c r="J2" s="10"/>
      <c r="K2" s="10"/>
      <c r="L2" s="10"/>
      <c r="M2" s="255" t="s">
        <v>416</v>
      </c>
    </row>
    <row r="3" spans="1:13" ht="5.25" customHeight="1" thickBot="1" x14ac:dyDescent="0.25">
      <c r="A3" s="217"/>
      <c r="B3" s="218"/>
      <c r="C3" s="218"/>
      <c r="D3" s="218"/>
      <c r="E3" s="218"/>
      <c r="F3" s="218"/>
      <c r="G3" s="218"/>
      <c r="H3" s="218"/>
      <c r="I3" s="218"/>
      <c r="J3" s="10"/>
      <c r="K3" s="10"/>
      <c r="L3" s="10"/>
      <c r="M3" s="10"/>
    </row>
    <row r="4" spans="1:13" x14ac:dyDescent="0.2">
      <c r="A4" s="242"/>
      <c r="B4" s="740" t="s">
        <v>78</v>
      </c>
      <c r="C4" s="741"/>
      <c r="D4" s="243" t="s">
        <v>79</v>
      </c>
      <c r="E4" s="219"/>
      <c r="F4" s="10"/>
      <c r="G4" s="10"/>
      <c r="H4" s="10"/>
      <c r="I4" s="10"/>
      <c r="J4" s="10"/>
      <c r="K4" s="10"/>
      <c r="L4" s="10"/>
      <c r="M4" s="10"/>
    </row>
    <row r="5" spans="1:13" ht="13.5" thickBot="1" x14ac:dyDescent="0.25">
      <c r="A5" s="244" t="s">
        <v>173</v>
      </c>
      <c r="B5" s="245" t="s">
        <v>174</v>
      </c>
      <c r="C5" s="246" t="s">
        <v>367</v>
      </c>
      <c r="D5" s="247" t="s">
        <v>170</v>
      </c>
      <c r="E5" s="219"/>
      <c r="F5" s="218"/>
      <c r="G5" s="10"/>
      <c r="H5" s="10"/>
      <c r="I5" s="10"/>
      <c r="J5" s="10"/>
      <c r="K5" s="10"/>
      <c r="L5" s="210">
        <f>(1-M13)</f>
        <v>1</v>
      </c>
      <c r="M5" s="10"/>
    </row>
    <row r="6" spans="1:13" x14ac:dyDescent="0.2">
      <c r="A6" s="238" t="s">
        <v>80</v>
      </c>
      <c r="B6" s="238">
        <v>1000</v>
      </c>
      <c r="C6" s="239">
        <v>10</v>
      </c>
      <c r="D6" s="256">
        <f>524.18*(KONSTD)</f>
        <v>524.17999999999995</v>
      </c>
      <c r="E6" s="220"/>
      <c r="F6" s="218"/>
      <c r="G6" s="10"/>
      <c r="H6" s="10"/>
      <c r="I6" s="10"/>
      <c r="J6" s="10"/>
      <c r="K6" s="10"/>
      <c r="L6" s="10"/>
      <c r="M6" s="10"/>
    </row>
    <row r="7" spans="1:13" x14ac:dyDescent="0.2">
      <c r="A7" s="240" t="s">
        <v>80</v>
      </c>
      <c r="B7" s="240">
        <v>1000</v>
      </c>
      <c r="C7" s="241">
        <v>12</v>
      </c>
      <c r="D7" s="257">
        <f>561.25*(KONSTD)</f>
        <v>561.25</v>
      </c>
      <c r="E7" s="220"/>
      <c r="F7" s="218"/>
      <c r="G7" s="10"/>
      <c r="H7" s="10"/>
      <c r="I7" s="10"/>
      <c r="J7" s="10"/>
      <c r="K7" s="10"/>
      <c r="L7" s="10"/>
      <c r="M7" s="10"/>
    </row>
    <row r="8" spans="1:13" x14ac:dyDescent="0.2">
      <c r="A8" s="240" t="s">
        <v>81</v>
      </c>
      <c r="B8" s="240">
        <v>1200</v>
      </c>
      <c r="C8" s="241">
        <v>10</v>
      </c>
      <c r="D8" s="257">
        <f>555.15*(KONSTD)</f>
        <v>555.15</v>
      </c>
      <c r="E8" s="220"/>
      <c r="J8" s="10"/>
      <c r="K8" s="10"/>
      <c r="L8" s="10"/>
      <c r="M8" s="10"/>
    </row>
    <row r="9" spans="1:13" x14ac:dyDescent="0.2">
      <c r="A9" s="240" t="s">
        <v>81</v>
      </c>
      <c r="B9" s="240">
        <v>1200</v>
      </c>
      <c r="C9" s="241">
        <v>12</v>
      </c>
      <c r="D9" s="257">
        <f>598.64*(KONSTD)</f>
        <v>598.64</v>
      </c>
      <c r="E9" s="220"/>
      <c r="F9" s="218"/>
      <c r="G9" s="10"/>
      <c r="H9" s="10"/>
      <c r="I9" s="10"/>
      <c r="J9" s="10"/>
      <c r="K9" s="10"/>
      <c r="L9" s="10"/>
      <c r="M9" s="10"/>
    </row>
    <row r="10" spans="1:13" x14ac:dyDescent="0.2">
      <c r="A10" s="240" t="s">
        <v>82</v>
      </c>
      <c r="B10" s="240">
        <v>1500</v>
      </c>
      <c r="C10" s="241">
        <v>10</v>
      </c>
      <c r="D10" s="257">
        <f>614.49*(KONSTD)</f>
        <v>614.49</v>
      </c>
      <c r="E10" s="220"/>
      <c r="F10" s="742" t="s">
        <v>368</v>
      </c>
      <c r="G10" s="742"/>
      <c r="H10" s="743"/>
      <c r="I10" s="549"/>
      <c r="J10" s="221" t="s">
        <v>170</v>
      </c>
      <c r="K10" s="10"/>
      <c r="L10" s="10"/>
      <c r="M10" s="10"/>
    </row>
    <row r="11" spans="1:13" x14ac:dyDescent="0.2">
      <c r="A11" s="240" t="s">
        <v>82</v>
      </c>
      <c r="B11" s="240">
        <v>1500</v>
      </c>
      <c r="C11" s="241">
        <v>12</v>
      </c>
      <c r="D11" s="257">
        <f>669.71*(KONSTD)</f>
        <v>669.71</v>
      </c>
      <c r="E11" s="220"/>
      <c r="F11" s="747" t="s">
        <v>267</v>
      </c>
      <c r="G11" s="748"/>
      <c r="H11" s="748"/>
      <c r="I11" s="748"/>
      <c r="J11" s="550">
        <f>0.2*(KONSTD)</f>
        <v>0.2</v>
      </c>
      <c r="K11" s="10"/>
      <c r="L11" s="10"/>
      <c r="M11" s="10"/>
    </row>
    <row r="12" spans="1:13" x14ac:dyDescent="0.2">
      <c r="A12" s="240" t="s">
        <v>83</v>
      </c>
      <c r="B12" s="240">
        <v>1800</v>
      </c>
      <c r="C12" s="241">
        <v>10</v>
      </c>
      <c r="D12" s="257">
        <f>658.98*(KONSTD)</f>
        <v>658.98</v>
      </c>
      <c r="E12" s="220"/>
      <c r="F12" s="733" t="s">
        <v>369</v>
      </c>
      <c r="G12" s="734"/>
      <c r="H12" s="734"/>
      <c r="I12" s="734"/>
      <c r="J12" s="551">
        <f>0.4*(KONSTD)</f>
        <v>0.4</v>
      </c>
      <c r="K12" s="10"/>
      <c r="L12" s="10"/>
      <c r="M12" s="10"/>
    </row>
    <row r="13" spans="1:13" x14ac:dyDescent="0.2">
      <c r="A13" s="240" t="s">
        <v>83</v>
      </c>
      <c r="B13" s="240">
        <v>1800</v>
      </c>
      <c r="C13" s="241">
        <v>12</v>
      </c>
      <c r="D13" s="257">
        <f>720.02*(KONSTD)</f>
        <v>720.02</v>
      </c>
      <c r="E13" s="220"/>
      <c r="F13" s="733" t="s">
        <v>370</v>
      </c>
      <c r="G13" s="734"/>
      <c r="H13" s="734"/>
      <c r="I13" s="734"/>
      <c r="J13" s="259">
        <f>91.51*(KONSTD)</f>
        <v>91.51</v>
      </c>
      <c r="L13" s="217" t="s">
        <v>172</v>
      </c>
      <c r="M13" s="237">
        <v>0</v>
      </c>
    </row>
    <row r="14" spans="1:13" x14ac:dyDescent="0.2">
      <c r="A14" s="240" t="s">
        <v>84</v>
      </c>
      <c r="B14" s="240">
        <v>2000</v>
      </c>
      <c r="C14" s="241">
        <v>10</v>
      </c>
      <c r="D14" s="257">
        <f>696.95*(KONSTD)</f>
        <v>696.95</v>
      </c>
      <c r="E14" s="220"/>
      <c r="F14" s="733" t="s">
        <v>371</v>
      </c>
      <c r="G14" s="734"/>
      <c r="H14" s="734"/>
      <c r="I14" s="734"/>
      <c r="J14" s="259">
        <f>104.54*(KONSTD)</f>
        <v>104.54</v>
      </c>
      <c r="K14" s="10"/>
      <c r="L14" s="105"/>
      <c r="M14" s="10"/>
    </row>
    <row r="15" spans="1:13" x14ac:dyDescent="0.2">
      <c r="A15" s="240" t="s">
        <v>84</v>
      </c>
      <c r="B15" s="240">
        <v>2000</v>
      </c>
      <c r="C15" s="241">
        <v>12</v>
      </c>
      <c r="D15" s="257">
        <f>753.11*(KONSTD)</f>
        <v>753.11</v>
      </c>
      <c r="E15" s="220"/>
      <c r="F15" s="733" t="s">
        <v>379</v>
      </c>
      <c r="G15" s="734"/>
      <c r="H15" s="734"/>
      <c r="I15" s="734"/>
      <c r="J15" s="259">
        <f>141.61*(KONSTD)</f>
        <v>141.61000000000001</v>
      </c>
      <c r="K15" s="10"/>
      <c r="L15" s="10"/>
      <c r="M15" s="10"/>
    </row>
    <row r="16" spans="1:13" ht="3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4" ht="15" x14ac:dyDescent="0.2">
      <c r="A17" s="739" t="s">
        <v>85</v>
      </c>
      <c r="B17" s="739"/>
      <c r="C17" s="739"/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216"/>
    </row>
    <row r="18" spans="1:14" ht="4.5" customHeight="1" x14ac:dyDescent="0.2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1"/>
    </row>
    <row r="19" spans="1:14" x14ac:dyDescent="0.2">
      <c r="A19" s="736" t="s">
        <v>372</v>
      </c>
      <c r="B19" s="737"/>
      <c r="C19" s="737"/>
      <c r="D19" s="737"/>
      <c r="E19" s="737"/>
      <c r="F19" s="738"/>
      <c r="G19" s="218"/>
      <c r="H19" s="736" t="s">
        <v>373</v>
      </c>
      <c r="I19" s="737"/>
      <c r="J19" s="737"/>
      <c r="K19" s="737"/>
      <c r="L19" s="737"/>
      <c r="M19" s="738"/>
      <c r="N19" s="211"/>
    </row>
    <row r="20" spans="1:14" x14ac:dyDescent="0.2">
      <c r="A20" s="223" t="s">
        <v>173</v>
      </c>
      <c r="B20" s="223" t="s">
        <v>367</v>
      </c>
      <c r="C20" s="224" t="s">
        <v>233</v>
      </c>
      <c r="D20" s="224" t="s">
        <v>213</v>
      </c>
      <c r="E20" s="224" t="s">
        <v>174</v>
      </c>
      <c r="F20" s="225" t="s">
        <v>170</v>
      </c>
      <c r="G20" s="218"/>
      <c r="H20" s="223" t="s">
        <v>173</v>
      </c>
      <c r="I20" s="223" t="s">
        <v>367</v>
      </c>
      <c r="J20" s="224" t="s">
        <v>233</v>
      </c>
      <c r="K20" s="224" t="s">
        <v>213</v>
      </c>
      <c r="L20" s="224" t="s">
        <v>174</v>
      </c>
      <c r="M20" s="225" t="s">
        <v>170</v>
      </c>
      <c r="N20" s="211"/>
    </row>
    <row r="21" spans="1:14" x14ac:dyDescent="0.2">
      <c r="A21" s="235" t="s">
        <v>86</v>
      </c>
      <c r="B21" s="235">
        <v>14</v>
      </c>
      <c r="C21" s="235">
        <v>800</v>
      </c>
      <c r="D21" s="222">
        <v>224</v>
      </c>
      <c r="E21" s="222">
        <v>940</v>
      </c>
      <c r="F21" s="259">
        <f>1515.08*(KONSTD)</f>
        <v>1515.08</v>
      </c>
      <c r="G21" s="218"/>
      <c r="H21" s="226" t="s">
        <v>87</v>
      </c>
      <c r="I21" s="235">
        <v>4</v>
      </c>
      <c r="J21" s="235">
        <v>1850</v>
      </c>
      <c r="K21" s="222">
        <v>365</v>
      </c>
      <c r="L21" s="222">
        <v>422</v>
      </c>
      <c r="M21" s="259">
        <f>1157.91*(KONSTD)</f>
        <v>1157.9100000000001</v>
      </c>
      <c r="N21" s="211"/>
    </row>
    <row r="22" spans="1:14" x14ac:dyDescent="0.2">
      <c r="A22" s="235" t="s">
        <v>88</v>
      </c>
      <c r="B22" s="235">
        <v>18</v>
      </c>
      <c r="C22" s="235">
        <v>1000</v>
      </c>
      <c r="D22" s="222">
        <v>224</v>
      </c>
      <c r="E22" s="222">
        <v>940</v>
      </c>
      <c r="F22" s="259">
        <f>1640.54*(KONSTD)</f>
        <v>1640.54</v>
      </c>
      <c r="G22" s="218"/>
      <c r="H22" s="226" t="s">
        <v>89</v>
      </c>
      <c r="I22" s="235">
        <v>5</v>
      </c>
      <c r="J22" s="235">
        <v>1850</v>
      </c>
      <c r="K22" s="222">
        <v>365</v>
      </c>
      <c r="L22" s="222">
        <v>472</v>
      </c>
      <c r="M22" s="259">
        <f>1255.79*(KONSTD)</f>
        <v>1255.79</v>
      </c>
      <c r="N22" s="211"/>
    </row>
    <row r="23" spans="1:14" x14ac:dyDescent="0.2">
      <c r="A23" s="235" t="s">
        <v>90</v>
      </c>
      <c r="B23" s="235">
        <v>22</v>
      </c>
      <c r="C23" s="235">
        <v>1200</v>
      </c>
      <c r="D23" s="222">
        <v>224</v>
      </c>
      <c r="E23" s="222">
        <v>940</v>
      </c>
      <c r="F23" s="259">
        <f>1766.09*(KONSTD)</f>
        <v>1766.09</v>
      </c>
      <c r="G23" s="218"/>
      <c r="H23" s="226" t="s">
        <v>91</v>
      </c>
      <c r="I23" s="235">
        <v>6</v>
      </c>
      <c r="J23" s="235">
        <v>1850</v>
      </c>
      <c r="K23" s="222">
        <v>365</v>
      </c>
      <c r="L23" s="222">
        <v>522</v>
      </c>
      <c r="M23" s="259">
        <f>1354.49*(KONSTD)</f>
        <v>1354.49</v>
      </c>
      <c r="N23" s="211"/>
    </row>
    <row r="24" spans="1:14" x14ac:dyDescent="0.2">
      <c r="A24" s="235" t="s">
        <v>92</v>
      </c>
      <c r="B24" s="235">
        <v>14</v>
      </c>
      <c r="C24" s="235">
        <v>800</v>
      </c>
      <c r="D24" s="222">
        <v>262</v>
      </c>
      <c r="E24" s="222">
        <v>940</v>
      </c>
      <c r="F24" s="259">
        <f>1588.72*(KONSTD)</f>
        <v>1588.72</v>
      </c>
      <c r="G24" s="218"/>
      <c r="H24" s="226" t="s">
        <v>93</v>
      </c>
      <c r="I24" s="235">
        <v>7</v>
      </c>
      <c r="J24" s="235">
        <v>1850</v>
      </c>
      <c r="K24" s="222">
        <v>365</v>
      </c>
      <c r="L24" s="222">
        <v>572</v>
      </c>
      <c r="M24" s="259">
        <f>1452.44*(KONSTD)</f>
        <v>1452.44</v>
      </c>
      <c r="N24" s="211"/>
    </row>
    <row r="25" spans="1:14" x14ac:dyDescent="0.2">
      <c r="A25" s="235" t="s">
        <v>94</v>
      </c>
      <c r="B25" s="235">
        <v>18</v>
      </c>
      <c r="C25" s="235">
        <v>1000</v>
      </c>
      <c r="D25" s="222">
        <v>262</v>
      </c>
      <c r="E25" s="222">
        <v>940</v>
      </c>
      <c r="F25" s="259">
        <f>1734.22*(KONSTD)</f>
        <v>1734.22</v>
      </c>
      <c r="G25" s="218"/>
      <c r="H25" s="226" t="s">
        <v>95</v>
      </c>
      <c r="I25" s="235">
        <v>4</v>
      </c>
      <c r="J25" s="235">
        <v>2150</v>
      </c>
      <c r="K25" s="222">
        <v>365</v>
      </c>
      <c r="L25" s="222">
        <v>422</v>
      </c>
      <c r="M25" s="259">
        <f>1229.01*(KONSTD)</f>
        <v>1229.01</v>
      </c>
      <c r="N25" s="211"/>
    </row>
    <row r="26" spans="1:14" x14ac:dyDescent="0.2">
      <c r="A26" s="235" t="s">
        <v>96</v>
      </c>
      <c r="B26" s="235">
        <v>22</v>
      </c>
      <c r="C26" s="235">
        <v>1200</v>
      </c>
      <c r="D26" s="222">
        <v>262</v>
      </c>
      <c r="E26" s="222">
        <v>940</v>
      </c>
      <c r="F26" s="259">
        <f>1879.8*(KONSTD)</f>
        <v>1879.8</v>
      </c>
      <c r="G26" s="218"/>
      <c r="H26" s="226" t="s">
        <v>97</v>
      </c>
      <c r="I26" s="235">
        <v>5</v>
      </c>
      <c r="J26" s="235">
        <v>2150</v>
      </c>
      <c r="K26" s="222">
        <v>365</v>
      </c>
      <c r="L26" s="222">
        <v>472</v>
      </c>
      <c r="M26" s="259">
        <f>1346.16*(KONSTD)</f>
        <v>1346.16</v>
      </c>
      <c r="N26" s="211"/>
    </row>
    <row r="27" spans="1:14" x14ac:dyDescent="0.2">
      <c r="A27" s="235" t="s">
        <v>98</v>
      </c>
      <c r="B27" s="235">
        <v>14</v>
      </c>
      <c r="C27" s="235">
        <v>800</v>
      </c>
      <c r="D27" s="222">
        <v>224</v>
      </c>
      <c r="E27" s="222">
        <v>1090</v>
      </c>
      <c r="F27" s="259">
        <f>1571.17*(KONSTD)</f>
        <v>1571.17</v>
      </c>
      <c r="G27" s="218"/>
      <c r="H27" s="226" t="s">
        <v>99</v>
      </c>
      <c r="I27" s="235">
        <v>6</v>
      </c>
      <c r="J27" s="235">
        <v>2150</v>
      </c>
      <c r="K27" s="222">
        <v>365</v>
      </c>
      <c r="L27" s="222">
        <v>522</v>
      </c>
      <c r="M27" s="259">
        <f>1461.6*(KONSTD)</f>
        <v>1461.6</v>
      </c>
      <c r="N27" s="211"/>
    </row>
    <row r="28" spans="1:14" x14ac:dyDescent="0.2">
      <c r="A28" s="235" t="s">
        <v>100</v>
      </c>
      <c r="B28" s="235">
        <v>18</v>
      </c>
      <c r="C28" s="235">
        <v>1000</v>
      </c>
      <c r="D28" s="222">
        <v>224</v>
      </c>
      <c r="E28" s="222">
        <v>1090</v>
      </c>
      <c r="F28" s="259">
        <f>1714.2*(KONSTD)</f>
        <v>1714.2</v>
      </c>
      <c r="G28" s="218"/>
      <c r="H28" s="226" t="s">
        <v>101</v>
      </c>
      <c r="I28" s="235">
        <v>7</v>
      </c>
      <c r="J28" s="235">
        <v>2150</v>
      </c>
      <c r="K28" s="222">
        <v>365</v>
      </c>
      <c r="L28" s="222">
        <v>572</v>
      </c>
      <c r="M28" s="259">
        <f>1577.85*(KONSTD)</f>
        <v>1577.85</v>
      </c>
      <c r="N28" s="211"/>
    </row>
    <row r="29" spans="1:14" x14ac:dyDescent="0.2">
      <c r="A29" s="235" t="s">
        <v>102</v>
      </c>
      <c r="B29" s="235">
        <v>22</v>
      </c>
      <c r="C29" s="235">
        <v>1200</v>
      </c>
      <c r="D29" s="222">
        <v>224</v>
      </c>
      <c r="E29" s="222">
        <v>1090</v>
      </c>
      <c r="F29" s="259">
        <f>1857.22*(KONSTD)</f>
        <v>1857.22</v>
      </c>
      <c r="G29" s="218"/>
      <c r="H29" s="226" t="s">
        <v>103</v>
      </c>
      <c r="I29" s="235">
        <v>4</v>
      </c>
      <c r="J29" s="235">
        <v>2350</v>
      </c>
      <c r="K29" s="222">
        <v>365</v>
      </c>
      <c r="L29" s="222">
        <v>422</v>
      </c>
      <c r="M29" s="259">
        <f>1275.96*(KONSTD)</f>
        <v>1275.96</v>
      </c>
      <c r="N29" s="211"/>
    </row>
    <row r="30" spans="1:14" x14ac:dyDescent="0.2">
      <c r="A30" s="235" t="s">
        <v>104</v>
      </c>
      <c r="B30" s="235">
        <v>14</v>
      </c>
      <c r="C30" s="235">
        <v>800</v>
      </c>
      <c r="D30" s="222">
        <v>262</v>
      </c>
      <c r="E30" s="222">
        <v>1090</v>
      </c>
      <c r="F30" s="259">
        <f>1658.1*(KONSTD)</f>
        <v>1658.1</v>
      </c>
      <c r="G30" s="218"/>
      <c r="H30" s="226" t="s">
        <v>105</v>
      </c>
      <c r="I30" s="235">
        <v>5</v>
      </c>
      <c r="J30" s="235">
        <v>2350</v>
      </c>
      <c r="K30" s="222">
        <v>365</v>
      </c>
      <c r="L30" s="222">
        <v>472</v>
      </c>
      <c r="M30" s="259">
        <f>1404.68*(KONSTD)</f>
        <v>1404.68</v>
      </c>
      <c r="N30" s="211"/>
    </row>
    <row r="31" spans="1:14" x14ac:dyDescent="0.2">
      <c r="A31" s="235" t="s">
        <v>106</v>
      </c>
      <c r="B31" s="235">
        <v>18</v>
      </c>
      <c r="C31" s="235">
        <v>1000</v>
      </c>
      <c r="D31" s="222">
        <v>262</v>
      </c>
      <c r="E31" s="222">
        <v>1090</v>
      </c>
      <c r="F31" s="259">
        <f>1825.5*(KONSTD)</f>
        <v>1825.5</v>
      </c>
      <c r="G31" s="218"/>
      <c r="H31" s="226" t="s">
        <v>107</v>
      </c>
      <c r="I31" s="235">
        <v>6</v>
      </c>
      <c r="J31" s="235">
        <v>2350</v>
      </c>
      <c r="K31" s="222">
        <v>365</v>
      </c>
      <c r="L31" s="222">
        <v>522</v>
      </c>
      <c r="M31" s="259">
        <f>1532.7*(KONSTD)</f>
        <v>1532.7</v>
      </c>
      <c r="N31" s="211"/>
    </row>
    <row r="32" spans="1:14" x14ac:dyDescent="0.2">
      <c r="A32" s="235" t="s">
        <v>108</v>
      </c>
      <c r="B32" s="235">
        <v>22</v>
      </c>
      <c r="C32" s="235">
        <v>1200</v>
      </c>
      <c r="D32" s="222">
        <v>262</v>
      </c>
      <c r="E32" s="222">
        <v>1090</v>
      </c>
      <c r="F32" s="259">
        <f>1992.82*(KONSTD)</f>
        <v>1992.82</v>
      </c>
      <c r="G32" s="218"/>
      <c r="H32" s="226" t="s">
        <v>109</v>
      </c>
      <c r="I32" s="235">
        <v>7</v>
      </c>
      <c r="J32" s="235">
        <v>2350</v>
      </c>
      <c r="K32" s="222">
        <v>365</v>
      </c>
      <c r="L32" s="222">
        <v>572</v>
      </c>
      <c r="M32" s="259">
        <f>1659.81*(KONSTD)</f>
        <v>1659.81</v>
      </c>
      <c r="N32" s="211"/>
    </row>
    <row r="33" spans="1:14" x14ac:dyDescent="0.2">
      <c r="A33" s="153"/>
      <c r="B33" s="153"/>
      <c r="C33" s="153"/>
      <c r="D33" s="104"/>
      <c r="E33" s="104"/>
      <c r="F33" s="227"/>
      <c r="G33" s="218"/>
      <c r="H33" s="226" t="s">
        <v>110</v>
      </c>
      <c r="I33" s="235">
        <v>4</v>
      </c>
      <c r="J33" s="235">
        <v>2850</v>
      </c>
      <c r="K33" s="222">
        <v>365</v>
      </c>
      <c r="L33" s="222">
        <v>422</v>
      </c>
      <c r="M33" s="259">
        <f>1672.41*(KONSTD)</f>
        <v>1672.41</v>
      </c>
      <c r="N33" s="211"/>
    </row>
    <row r="34" spans="1:14" x14ac:dyDescent="0.2">
      <c r="A34" s="736" t="s">
        <v>374</v>
      </c>
      <c r="B34" s="737"/>
      <c r="C34" s="737"/>
      <c r="D34" s="737"/>
      <c r="E34" s="737"/>
      <c r="F34" s="738"/>
      <c r="G34" s="218"/>
      <c r="H34" s="226" t="s">
        <v>111</v>
      </c>
      <c r="I34" s="235">
        <v>5</v>
      </c>
      <c r="J34" s="235">
        <v>2850</v>
      </c>
      <c r="K34" s="222">
        <v>365</v>
      </c>
      <c r="L34" s="222">
        <v>472</v>
      </c>
      <c r="M34" s="259">
        <f>1829.62*(KONSTD)</f>
        <v>1829.62</v>
      </c>
      <c r="N34" s="211"/>
    </row>
    <row r="35" spans="1:14" x14ac:dyDescent="0.2">
      <c r="A35" s="223" t="s">
        <v>1</v>
      </c>
      <c r="B35" s="223" t="s">
        <v>367</v>
      </c>
      <c r="C35" s="224" t="s">
        <v>233</v>
      </c>
      <c r="D35" s="224" t="s">
        <v>213</v>
      </c>
      <c r="E35" s="224" t="s">
        <v>174</v>
      </c>
      <c r="F35" s="225" t="s">
        <v>170</v>
      </c>
      <c r="G35" s="218"/>
      <c r="H35" s="226" t="s">
        <v>112</v>
      </c>
      <c r="I35" s="235">
        <v>6</v>
      </c>
      <c r="J35" s="235">
        <v>2850</v>
      </c>
      <c r="K35" s="222">
        <v>365</v>
      </c>
      <c r="L35" s="222">
        <v>522</v>
      </c>
      <c r="M35" s="259">
        <f>1987.65*(KONSTD)</f>
        <v>1987.65</v>
      </c>
      <c r="N35" s="211"/>
    </row>
    <row r="36" spans="1:14" x14ac:dyDescent="0.2">
      <c r="A36" s="235" t="s">
        <v>113</v>
      </c>
      <c r="B36" s="235">
        <v>20</v>
      </c>
      <c r="C36" s="235">
        <v>1100</v>
      </c>
      <c r="D36" s="222">
        <v>224</v>
      </c>
      <c r="E36" s="222">
        <v>490</v>
      </c>
      <c r="F36" s="259">
        <f>1475.01*(KONSTD)</f>
        <v>1475.01</v>
      </c>
      <c r="G36" s="218"/>
      <c r="H36" s="226" t="s">
        <v>114</v>
      </c>
      <c r="I36" s="235">
        <v>7</v>
      </c>
      <c r="J36" s="235">
        <v>2850</v>
      </c>
      <c r="K36" s="222">
        <v>365</v>
      </c>
      <c r="L36" s="222">
        <v>572</v>
      </c>
      <c r="M36" s="259">
        <f>2145*(KONSTD)</f>
        <v>2145</v>
      </c>
      <c r="N36" s="211"/>
    </row>
    <row r="37" spans="1:14" x14ac:dyDescent="0.2">
      <c r="A37" s="235" t="s">
        <v>115</v>
      </c>
      <c r="B37" s="235">
        <v>24</v>
      </c>
      <c r="C37" s="235">
        <v>1300</v>
      </c>
      <c r="D37" s="222">
        <v>224</v>
      </c>
      <c r="E37" s="222">
        <v>490</v>
      </c>
      <c r="F37" s="259">
        <f>1562.84*(KONSTD)</f>
        <v>1562.84</v>
      </c>
      <c r="G37" s="218"/>
      <c r="H37" s="226" t="s">
        <v>116</v>
      </c>
      <c r="I37" s="235">
        <v>4</v>
      </c>
      <c r="J37" s="235">
        <v>3150</v>
      </c>
      <c r="K37" s="222">
        <v>365</v>
      </c>
      <c r="L37" s="222">
        <v>422</v>
      </c>
      <c r="M37" s="259">
        <f>1740.9*(KONSTD)</f>
        <v>1740.9</v>
      </c>
      <c r="N37" s="211"/>
    </row>
    <row r="38" spans="1:14" x14ac:dyDescent="0.2">
      <c r="A38" s="235" t="s">
        <v>117</v>
      </c>
      <c r="B38" s="235">
        <v>28</v>
      </c>
      <c r="C38" s="235">
        <v>1500</v>
      </c>
      <c r="D38" s="222">
        <v>224</v>
      </c>
      <c r="E38" s="222">
        <v>490</v>
      </c>
      <c r="F38" s="259">
        <f>1650.67*(KONSTD)</f>
        <v>1650.67</v>
      </c>
      <c r="G38" s="218"/>
      <c r="H38" s="226" t="s">
        <v>118</v>
      </c>
      <c r="I38" s="235">
        <v>5</v>
      </c>
      <c r="J38" s="235">
        <v>3150</v>
      </c>
      <c r="K38" s="222">
        <v>365</v>
      </c>
      <c r="L38" s="222">
        <v>472</v>
      </c>
      <c r="M38" s="259">
        <f>1916.55*(KONSTD)</f>
        <v>1916.55</v>
      </c>
      <c r="N38" s="211"/>
    </row>
    <row r="39" spans="1:14" x14ac:dyDescent="0.2">
      <c r="A39" s="235" t="s">
        <v>119</v>
      </c>
      <c r="B39" s="235">
        <v>20</v>
      </c>
      <c r="C39" s="235">
        <v>1100</v>
      </c>
      <c r="D39" s="222">
        <v>262</v>
      </c>
      <c r="E39" s="222">
        <v>490</v>
      </c>
      <c r="F39" s="259">
        <f>1551.14*(KONSTD)</f>
        <v>1551.14</v>
      </c>
      <c r="G39" s="218"/>
      <c r="H39" s="226" t="s">
        <v>120</v>
      </c>
      <c r="I39" s="235">
        <v>6</v>
      </c>
      <c r="J39" s="235">
        <v>3150</v>
      </c>
      <c r="K39" s="222">
        <v>365</v>
      </c>
      <c r="L39" s="222">
        <v>522</v>
      </c>
      <c r="M39" s="259">
        <f>2090.62*(KONSTD)</f>
        <v>2090.62</v>
      </c>
      <c r="N39" s="211"/>
    </row>
    <row r="40" spans="1:14" x14ac:dyDescent="0.2">
      <c r="A40" s="235" t="s">
        <v>121</v>
      </c>
      <c r="B40" s="235">
        <v>24</v>
      </c>
      <c r="C40" s="235">
        <v>1300</v>
      </c>
      <c r="D40" s="222">
        <v>262</v>
      </c>
      <c r="E40" s="222">
        <v>490</v>
      </c>
      <c r="F40" s="259">
        <f>1654.79*(KONSTD)</f>
        <v>1654.79</v>
      </c>
      <c r="G40" s="218"/>
      <c r="H40" s="226" t="s">
        <v>122</v>
      </c>
      <c r="I40" s="235">
        <v>7</v>
      </c>
      <c r="J40" s="235">
        <v>3150</v>
      </c>
      <c r="K40" s="222">
        <v>365</v>
      </c>
      <c r="L40" s="222">
        <v>572</v>
      </c>
      <c r="M40" s="259">
        <f>2264.56*(KONSTD)</f>
        <v>2264.56</v>
      </c>
      <c r="N40" s="211"/>
    </row>
    <row r="41" spans="1:14" x14ac:dyDescent="0.2">
      <c r="A41" s="235" t="s">
        <v>123</v>
      </c>
      <c r="B41" s="235">
        <v>28</v>
      </c>
      <c r="C41" s="235">
        <v>1500</v>
      </c>
      <c r="D41" s="222">
        <v>262</v>
      </c>
      <c r="E41" s="222">
        <v>490</v>
      </c>
      <c r="F41" s="259">
        <f>1757.69*(KONSTD)</f>
        <v>1757.69</v>
      </c>
      <c r="G41" s="218"/>
      <c r="H41" s="228"/>
      <c r="I41" s="153"/>
      <c r="J41" s="153"/>
      <c r="K41" s="104"/>
      <c r="L41" s="104"/>
      <c r="M41" s="227"/>
      <c r="N41" s="211"/>
    </row>
    <row r="42" spans="1:14" x14ac:dyDescent="0.2">
      <c r="A42" s="235" t="s">
        <v>124</v>
      </c>
      <c r="B42" s="235">
        <v>20</v>
      </c>
      <c r="C42" s="235">
        <v>1100</v>
      </c>
      <c r="D42" s="222">
        <v>224</v>
      </c>
      <c r="E42" s="222">
        <v>540</v>
      </c>
      <c r="F42" s="259">
        <f>1488.37*(KONSTD)</f>
        <v>1488.37</v>
      </c>
      <c r="G42" s="218"/>
      <c r="H42" s="744" t="s">
        <v>375</v>
      </c>
      <c r="I42" s="745"/>
      <c r="J42" s="745"/>
      <c r="K42" s="745"/>
      <c r="L42" s="745"/>
      <c r="M42" s="746"/>
      <c r="N42" s="213"/>
    </row>
    <row r="43" spans="1:14" x14ac:dyDescent="0.2">
      <c r="A43" s="235" t="s">
        <v>125</v>
      </c>
      <c r="B43" s="235">
        <v>24</v>
      </c>
      <c r="C43" s="235">
        <v>1300</v>
      </c>
      <c r="D43" s="222">
        <v>224</v>
      </c>
      <c r="E43" s="222">
        <v>540</v>
      </c>
      <c r="F43" s="259">
        <f>1579.56*(KONSTD)</f>
        <v>1579.56</v>
      </c>
      <c r="G43" s="218"/>
      <c r="H43" s="229" t="s">
        <v>376</v>
      </c>
      <c r="I43" s="230"/>
      <c r="J43" s="231" t="s">
        <v>233</v>
      </c>
      <c r="K43" s="231" t="s">
        <v>213</v>
      </c>
      <c r="L43" s="231" t="s">
        <v>377</v>
      </c>
      <c r="M43" s="232" t="s">
        <v>170</v>
      </c>
      <c r="N43" s="214"/>
    </row>
    <row r="44" spans="1:14" x14ac:dyDescent="0.2">
      <c r="A44" s="235" t="s">
        <v>126</v>
      </c>
      <c r="B44" s="235">
        <v>28</v>
      </c>
      <c r="C44" s="235">
        <v>1500</v>
      </c>
      <c r="D44" s="222">
        <v>224</v>
      </c>
      <c r="E44" s="222">
        <v>540</v>
      </c>
      <c r="F44" s="259">
        <f>1669.87*(KONSTD)</f>
        <v>1669.87</v>
      </c>
      <c r="G44" s="218"/>
      <c r="H44" s="233" t="s">
        <v>127</v>
      </c>
      <c r="I44" s="234"/>
      <c r="J44" s="235">
        <v>1850</v>
      </c>
      <c r="K44" s="235">
        <v>365</v>
      </c>
      <c r="L44" s="222">
        <v>35</v>
      </c>
      <c r="M44" s="258">
        <f>765.93*(KONSTD)</f>
        <v>765.93</v>
      </c>
      <c r="N44" s="212"/>
    </row>
    <row r="45" spans="1:14" x14ac:dyDescent="0.2">
      <c r="A45" s="235" t="s">
        <v>128</v>
      </c>
      <c r="B45" s="235">
        <v>20</v>
      </c>
      <c r="C45" s="235">
        <v>1100</v>
      </c>
      <c r="D45" s="222">
        <v>262</v>
      </c>
      <c r="E45" s="222">
        <v>540</v>
      </c>
      <c r="F45" s="259">
        <f>1561.11*(KONSTD)</f>
        <v>1561.11</v>
      </c>
      <c r="G45" s="218"/>
      <c r="H45" s="233" t="s">
        <v>129</v>
      </c>
      <c r="I45" s="234"/>
      <c r="J45" s="235">
        <v>2150</v>
      </c>
      <c r="K45" s="235">
        <v>365</v>
      </c>
      <c r="L45" s="222">
        <v>35</v>
      </c>
      <c r="M45" s="258">
        <f>769.3*(KONSTD)</f>
        <v>769.3</v>
      </c>
      <c r="N45" s="212"/>
    </row>
    <row r="46" spans="1:14" x14ac:dyDescent="0.2">
      <c r="A46" s="235" t="s">
        <v>130</v>
      </c>
      <c r="B46" s="235">
        <v>24</v>
      </c>
      <c r="C46" s="235">
        <v>1300</v>
      </c>
      <c r="D46" s="222">
        <v>262</v>
      </c>
      <c r="E46" s="222">
        <v>540</v>
      </c>
      <c r="F46" s="259">
        <f>1667.39*(KONSTD)</f>
        <v>1667.39</v>
      </c>
      <c r="G46" s="218"/>
      <c r="H46" s="233" t="s">
        <v>131</v>
      </c>
      <c r="I46" s="234"/>
      <c r="J46" s="235">
        <v>2350</v>
      </c>
      <c r="K46" s="235">
        <v>365</v>
      </c>
      <c r="L46" s="222">
        <v>35</v>
      </c>
      <c r="M46" s="258">
        <f>784.45*(KONSTD)</f>
        <v>784.45</v>
      </c>
      <c r="N46" s="212"/>
    </row>
    <row r="47" spans="1:14" x14ac:dyDescent="0.2">
      <c r="A47" s="235" t="s">
        <v>132</v>
      </c>
      <c r="B47" s="235">
        <v>28</v>
      </c>
      <c r="C47" s="235">
        <v>1500</v>
      </c>
      <c r="D47" s="222">
        <v>262</v>
      </c>
      <c r="E47" s="222">
        <v>540</v>
      </c>
      <c r="F47" s="259">
        <f>1771.94*(KONSTD)</f>
        <v>1771.94</v>
      </c>
      <c r="G47" s="218"/>
      <c r="H47" s="236" t="s">
        <v>133</v>
      </c>
      <c r="I47" s="234"/>
      <c r="J47" s="235">
        <v>2850</v>
      </c>
      <c r="K47" s="235">
        <v>365</v>
      </c>
      <c r="L47" s="222">
        <v>35</v>
      </c>
      <c r="M47" s="258">
        <f>812.19*(KONSTD)</f>
        <v>812.19</v>
      </c>
      <c r="N47" s="215"/>
    </row>
    <row r="48" spans="1:14" x14ac:dyDescent="0.2">
      <c r="A48" s="218"/>
      <c r="B48" s="218"/>
      <c r="C48" s="218"/>
      <c r="D48" s="218"/>
      <c r="E48" s="218"/>
      <c r="F48" s="218"/>
      <c r="G48" s="218"/>
      <c r="H48" s="236" t="s">
        <v>134</v>
      </c>
      <c r="I48" s="234"/>
      <c r="J48" s="235">
        <v>3150</v>
      </c>
      <c r="K48" s="235">
        <v>365</v>
      </c>
      <c r="L48" s="222">
        <v>35</v>
      </c>
      <c r="M48" s="258">
        <f>854.11*(KONSTD)</f>
        <v>854.11</v>
      </c>
      <c r="N48" s="215"/>
    </row>
    <row r="49" spans="1:14" x14ac:dyDescent="0.2">
      <c r="A49" s="736" t="s">
        <v>378</v>
      </c>
      <c r="B49" s="737"/>
      <c r="C49" s="737"/>
      <c r="D49" s="737"/>
      <c r="E49" s="737"/>
      <c r="F49" s="738"/>
      <c r="G49" s="218"/>
      <c r="H49" s="218"/>
      <c r="I49" s="218"/>
      <c r="J49" s="218"/>
      <c r="K49" s="218"/>
      <c r="L49" s="218"/>
      <c r="M49" s="218"/>
      <c r="N49" s="211"/>
    </row>
    <row r="50" spans="1:14" x14ac:dyDescent="0.2">
      <c r="A50" s="223" t="s">
        <v>1</v>
      </c>
      <c r="B50" s="223" t="s">
        <v>367</v>
      </c>
      <c r="C50" s="224" t="s">
        <v>233</v>
      </c>
      <c r="D50" s="224" t="s">
        <v>213</v>
      </c>
      <c r="E50" s="224" t="s">
        <v>174</v>
      </c>
      <c r="F50" s="225" t="s">
        <v>170</v>
      </c>
      <c r="G50" s="218"/>
      <c r="H50" s="552"/>
      <c r="I50" s="444"/>
      <c r="J50" s="219"/>
      <c r="K50" s="218"/>
      <c r="L50" s="218"/>
      <c r="M50" s="218"/>
      <c r="N50" s="211"/>
    </row>
    <row r="51" spans="1:14" x14ac:dyDescent="0.2">
      <c r="A51" s="226" t="s">
        <v>135</v>
      </c>
      <c r="B51" s="235">
        <v>4</v>
      </c>
      <c r="C51" s="235">
        <v>1000</v>
      </c>
      <c r="D51" s="222">
        <v>215</v>
      </c>
      <c r="E51" s="222">
        <v>350</v>
      </c>
      <c r="F51" s="669">
        <f>569.65*(KONSTD)</f>
        <v>569.65</v>
      </c>
      <c r="G51" s="218"/>
      <c r="H51" s="553"/>
      <c r="I51" s="444"/>
      <c r="J51" s="554"/>
      <c r="K51" s="218"/>
      <c r="L51" s="218"/>
      <c r="M51" s="218"/>
      <c r="N51" s="211"/>
    </row>
    <row r="52" spans="1:14" x14ac:dyDescent="0.2">
      <c r="A52" s="226" t="s">
        <v>136</v>
      </c>
      <c r="B52" s="235">
        <v>5</v>
      </c>
      <c r="C52" s="235">
        <v>1000</v>
      </c>
      <c r="D52" s="222">
        <v>215</v>
      </c>
      <c r="E52" s="222">
        <v>400</v>
      </c>
      <c r="F52" s="669">
        <f>634.78*(KONSTD)</f>
        <v>634.78</v>
      </c>
      <c r="G52" s="218"/>
      <c r="H52" s="553"/>
      <c r="I52" s="444"/>
      <c r="J52" s="555"/>
      <c r="K52" s="218"/>
      <c r="L52" s="218"/>
      <c r="M52" s="218"/>
      <c r="N52" s="211"/>
    </row>
    <row r="53" spans="1:14" x14ac:dyDescent="0.2">
      <c r="A53" s="226" t="s">
        <v>137</v>
      </c>
      <c r="B53" s="235">
        <v>6</v>
      </c>
      <c r="C53" s="235">
        <v>1000</v>
      </c>
      <c r="D53" s="222">
        <v>215</v>
      </c>
      <c r="E53" s="222">
        <v>450</v>
      </c>
      <c r="F53" s="669">
        <f>697.4*(KONSTD)</f>
        <v>697.4</v>
      </c>
      <c r="G53" s="218"/>
      <c r="H53" s="10"/>
      <c r="I53" s="10"/>
      <c r="J53" s="218"/>
      <c r="K53" s="218"/>
      <c r="L53" s="218"/>
      <c r="M53" s="218"/>
      <c r="N53" s="211"/>
    </row>
    <row r="54" spans="1:14" x14ac:dyDescent="0.2">
      <c r="A54" s="226" t="s">
        <v>138</v>
      </c>
      <c r="B54" s="235">
        <v>7</v>
      </c>
      <c r="C54" s="235">
        <v>1000</v>
      </c>
      <c r="D54" s="222">
        <v>215</v>
      </c>
      <c r="E54" s="222">
        <v>500</v>
      </c>
      <c r="F54" s="669">
        <f>763.87*(KONSTD)</f>
        <v>763.87</v>
      </c>
      <c r="G54" s="218"/>
      <c r="H54" s="10"/>
      <c r="I54" s="10"/>
      <c r="J54" s="218"/>
      <c r="K54" s="218"/>
      <c r="L54" s="218"/>
      <c r="M54" s="218"/>
      <c r="N54" s="211"/>
    </row>
    <row r="55" spans="1:14" x14ac:dyDescent="0.2">
      <c r="A55" s="226" t="s">
        <v>139</v>
      </c>
      <c r="B55" s="235">
        <v>4</v>
      </c>
      <c r="C55" s="235">
        <v>1200</v>
      </c>
      <c r="D55" s="222">
        <v>215</v>
      </c>
      <c r="E55" s="222">
        <v>350</v>
      </c>
      <c r="F55" s="669">
        <f>585.31*(KONSTD)</f>
        <v>585.30999999999995</v>
      </c>
      <c r="G55" s="218"/>
      <c r="H55" s="218"/>
      <c r="I55" s="218"/>
      <c r="J55" s="218"/>
      <c r="K55" s="218"/>
      <c r="L55" s="218"/>
      <c r="M55" s="218"/>
      <c r="N55" s="211"/>
    </row>
    <row r="56" spans="1:14" x14ac:dyDescent="0.2">
      <c r="A56" s="226" t="s">
        <v>140</v>
      </c>
      <c r="B56" s="235">
        <v>5</v>
      </c>
      <c r="C56" s="235">
        <v>1200</v>
      </c>
      <c r="D56" s="222">
        <v>215</v>
      </c>
      <c r="E56" s="222">
        <v>400</v>
      </c>
      <c r="F56" s="669">
        <f>656.94*(KONSTD)</f>
        <v>656.94</v>
      </c>
      <c r="G56" s="218"/>
      <c r="H56" s="218"/>
      <c r="I56" s="218"/>
      <c r="J56" s="218"/>
      <c r="K56" s="218"/>
      <c r="L56" s="218"/>
      <c r="M56" s="218"/>
      <c r="N56" s="211"/>
    </row>
    <row r="57" spans="1:14" x14ac:dyDescent="0.2">
      <c r="A57" s="226" t="s">
        <v>141</v>
      </c>
      <c r="B57" s="235">
        <v>6</v>
      </c>
      <c r="C57" s="235">
        <v>1200</v>
      </c>
      <c r="D57" s="222">
        <v>215</v>
      </c>
      <c r="E57" s="222">
        <v>450</v>
      </c>
      <c r="F57" s="669">
        <f>723.55*(KONSTD)</f>
        <v>723.55</v>
      </c>
      <c r="G57" s="218"/>
      <c r="H57" s="218"/>
      <c r="I57" s="218"/>
      <c r="J57" s="218"/>
      <c r="K57" s="218"/>
      <c r="L57" s="218"/>
      <c r="M57" s="218"/>
      <c r="N57" s="211"/>
    </row>
    <row r="58" spans="1:14" x14ac:dyDescent="0.2">
      <c r="A58" s="226" t="s">
        <v>142</v>
      </c>
      <c r="B58" s="235">
        <v>7</v>
      </c>
      <c r="C58" s="235">
        <v>1200</v>
      </c>
      <c r="D58" s="222">
        <v>215</v>
      </c>
      <c r="E58" s="222">
        <v>500</v>
      </c>
      <c r="F58" s="669">
        <f>793.85*(KONSTD)</f>
        <v>793.85</v>
      </c>
      <c r="G58" s="218"/>
      <c r="H58" s="218"/>
      <c r="I58" s="218"/>
      <c r="J58" s="218"/>
      <c r="K58" s="218"/>
      <c r="L58" s="218"/>
      <c r="M58" s="218"/>
      <c r="N58" s="211"/>
    </row>
    <row r="59" spans="1:14" x14ac:dyDescent="0.2">
      <c r="A59" s="226" t="s">
        <v>143</v>
      </c>
      <c r="B59" s="235">
        <v>4</v>
      </c>
      <c r="C59" s="235">
        <v>1500</v>
      </c>
      <c r="D59" s="222">
        <v>215</v>
      </c>
      <c r="E59" s="222">
        <v>350</v>
      </c>
      <c r="F59" s="669">
        <f>611.3*(KONSTD)</f>
        <v>611.29999999999995</v>
      </c>
      <c r="G59" s="218"/>
      <c r="H59" s="218"/>
      <c r="I59" s="218"/>
      <c r="J59" s="218"/>
      <c r="K59" s="218"/>
      <c r="L59" s="218"/>
      <c r="M59" s="218"/>
      <c r="N59" s="211"/>
    </row>
    <row r="60" spans="1:14" x14ac:dyDescent="0.2">
      <c r="A60" s="226" t="s">
        <v>144</v>
      </c>
      <c r="B60" s="235">
        <v>5</v>
      </c>
      <c r="C60" s="235">
        <v>1500</v>
      </c>
      <c r="D60" s="222">
        <v>215</v>
      </c>
      <c r="E60" s="222">
        <v>400</v>
      </c>
      <c r="F60" s="669">
        <f>688.25*(KONSTD)</f>
        <v>688.25</v>
      </c>
      <c r="G60" s="218"/>
      <c r="H60" s="218"/>
      <c r="I60" s="218"/>
      <c r="J60" s="218"/>
      <c r="K60" s="218"/>
      <c r="L60" s="218"/>
      <c r="M60" s="218"/>
      <c r="N60" s="211"/>
    </row>
    <row r="61" spans="1:14" x14ac:dyDescent="0.2">
      <c r="A61" s="226" t="s">
        <v>145</v>
      </c>
      <c r="B61" s="235">
        <v>6</v>
      </c>
      <c r="C61" s="235">
        <v>1500</v>
      </c>
      <c r="D61" s="222">
        <v>215</v>
      </c>
      <c r="E61" s="222">
        <v>450</v>
      </c>
      <c r="F61" s="669">
        <f>762.54*(KONSTD)</f>
        <v>762.54</v>
      </c>
      <c r="G61" s="218"/>
      <c r="H61" s="218"/>
      <c r="I61" s="218"/>
      <c r="J61" s="218"/>
      <c r="K61" s="218"/>
      <c r="L61" s="218"/>
      <c r="M61" s="218"/>
      <c r="N61" s="211"/>
    </row>
    <row r="62" spans="1:14" x14ac:dyDescent="0.2">
      <c r="A62" s="226" t="s">
        <v>146</v>
      </c>
      <c r="B62" s="235">
        <v>7</v>
      </c>
      <c r="C62" s="235">
        <v>1500</v>
      </c>
      <c r="D62" s="222">
        <v>215</v>
      </c>
      <c r="E62" s="222">
        <v>500</v>
      </c>
      <c r="F62" s="669">
        <f>839.49*(KONSTD)</f>
        <v>839.49</v>
      </c>
      <c r="G62" s="218"/>
      <c r="H62" s="218"/>
      <c r="I62" s="218"/>
      <c r="J62" s="218"/>
      <c r="K62" s="218"/>
      <c r="L62" s="218"/>
      <c r="M62" s="218"/>
      <c r="N62" s="211"/>
    </row>
    <row r="63" spans="1:14" x14ac:dyDescent="0.2">
      <c r="A63" s="226" t="s">
        <v>147</v>
      </c>
      <c r="B63" s="235">
        <v>4</v>
      </c>
      <c r="C63" s="235">
        <v>1800</v>
      </c>
      <c r="D63" s="222">
        <v>215</v>
      </c>
      <c r="E63" s="222">
        <v>350</v>
      </c>
      <c r="F63" s="669">
        <f>637.44*(KONSTD)</f>
        <v>637.44000000000005</v>
      </c>
      <c r="G63" s="218"/>
      <c r="H63" s="218"/>
      <c r="I63" s="218"/>
      <c r="J63" s="218"/>
      <c r="K63" s="218"/>
      <c r="L63" s="218"/>
      <c r="M63" s="218"/>
      <c r="N63" s="211"/>
    </row>
    <row r="64" spans="1:14" x14ac:dyDescent="0.2">
      <c r="A64" s="226" t="s">
        <v>148</v>
      </c>
      <c r="B64" s="235">
        <v>5</v>
      </c>
      <c r="C64" s="235">
        <v>1800</v>
      </c>
      <c r="D64" s="222">
        <v>215</v>
      </c>
      <c r="E64" s="222">
        <v>400</v>
      </c>
      <c r="F64" s="669">
        <f>720.89*(KONSTD)</f>
        <v>720.89</v>
      </c>
      <c r="G64" s="218"/>
      <c r="H64" s="218"/>
      <c r="I64" s="218"/>
      <c r="J64" s="218"/>
      <c r="K64" s="218"/>
      <c r="L64" s="218"/>
      <c r="M64" s="218"/>
      <c r="N64" s="211"/>
    </row>
    <row r="65" spans="1:14" x14ac:dyDescent="0.2">
      <c r="A65" s="226" t="s">
        <v>149</v>
      </c>
      <c r="B65" s="235">
        <v>6</v>
      </c>
      <c r="C65" s="235">
        <v>1800</v>
      </c>
      <c r="D65" s="222">
        <v>215</v>
      </c>
      <c r="E65" s="222">
        <v>450</v>
      </c>
      <c r="F65" s="669">
        <f>800.35*(KONSTD)</f>
        <v>800.35</v>
      </c>
      <c r="G65" s="218"/>
      <c r="H65" s="218"/>
      <c r="I65" s="218"/>
      <c r="J65" s="218"/>
      <c r="K65" s="218"/>
      <c r="L65" s="218"/>
      <c r="M65" s="218"/>
      <c r="N65" s="211"/>
    </row>
    <row r="66" spans="1:14" x14ac:dyDescent="0.2">
      <c r="A66" s="226" t="s">
        <v>150</v>
      </c>
      <c r="B66" s="235">
        <v>7</v>
      </c>
      <c r="C66" s="235">
        <v>1800</v>
      </c>
      <c r="D66" s="222">
        <v>215</v>
      </c>
      <c r="E66" s="222">
        <v>500</v>
      </c>
      <c r="F66" s="669">
        <f>883.79*(KONSTD)</f>
        <v>883.79</v>
      </c>
      <c r="G66" s="218"/>
      <c r="H66" s="218"/>
      <c r="I66" s="218"/>
      <c r="J66" s="218"/>
      <c r="K66" s="218"/>
      <c r="L66" s="218"/>
      <c r="M66" s="218"/>
      <c r="N66" s="211"/>
    </row>
    <row r="67" spans="1:14" x14ac:dyDescent="0.2">
      <c r="A67" s="226" t="s">
        <v>151</v>
      </c>
      <c r="B67" s="235">
        <v>4</v>
      </c>
      <c r="C67" s="235">
        <v>2000</v>
      </c>
      <c r="D67" s="222">
        <v>215</v>
      </c>
      <c r="E67" s="222">
        <v>350</v>
      </c>
      <c r="F67" s="669">
        <f>655.76*(KONSTD)</f>
        <v>655.76</v>
      </c>
      <c r="G67" s="218"/>
      <c r="H67" s="218"/>
      <c r="I67" s="218"/>
      <c r="J67" s="218"/>
      <c r="K67" s="218"/>
      <c r="L67" s="218"/>
      <c r="M67" s="218"/>
      <c r="N67" s="211"/>
    </row>
    <row r="68" spans="1:14" x14ac:dyDescent="0.2">
      <c r="A68" s="226" t="s">
        <v>152</v>
      </c>
      <c r="B68" s="235">
        <v>5</v>
      </c>
      <c r="C68" s="235">
        <v>2000</v>
      </c>
      <c r="D68" s="222">
        <v>215</v>
      </c>
      <c r="E68" s="222">
        <v>400</v>
      </c>
      <c r="F68" s="669">
        <f>743.04*(KONSTD)</f>
        <v>743.04</v>
      </c>
      <c r="G68" s="218"/>
      <c r="H68" s="218"/>
      <c r="I68" s="218"/>
      <c r="J68" s="218"/>
      <c r="K68" s="218"/>
      <c r="L68" s="218"/>
      <c r="M68" s="218"/>
      <c r="N68" s="211"/>
    </row>
    <row r="69" spans="1:14" x14ac:dyDescent="0.2">
      <c r="A69" s="226" t="s">
        <v>153</v>
      </c>
      <c r="B69" s="235">
        <v>6</v>
      </c>
      <c r="C69" s="235">
        <v>2000</v>
      </c>
      <c r="D69" s="222">
        <v>215</v>
      </c>
      <c r="E69" s="222">
        <v>450</v>
      </c>
      <c r="F69" s="669">
        <f>826.49*(KONSTD)</f>
        <v>826.49</v>
      </c>
      <c r="G69" s="218"/>
      <c r="H69" s="218"/>
      <c r="I69" s="218"/>
      <c r="J69" s="218"/>
      <c r="K69" s="218"/>
      <c r="L69" s="218"/>
      <c r="M69" s="218"/>
      <c r="N69" s="211"/>
    </row>
    <row r="70" spans="1:14" x14ac:dyDescent="0.2">
      <c r="A70" s="226" t="s">
        <v>154</v>
      </c>
      <c r="B70" s="235">
        <v>7</v>
      </c>
      <c r="C70" s="235">
        <v>2000</v>
      </c>
      <c r="D70" s="222">
        <v>215</v>
      </c>
      <c r="E70" s="222">
        <v>500</v>
      </c>
      <c r="F70" s="669">
        <f>911.12*(KONSTD)</f>
        <v>911.12</v>
      </c>
      <c r="G70" s="218"/>
      <c r="H70" s="218"/>
      <c r="I70" s="218"/>
      <c r="J70" s="218"/>
      <c r="K70" s="218"/>
      <c r="L70" s="218"/>
      <c r="M70" s="218"/>
      <c r="N70" s="211"/>
    </row>
    <row r="71" spans="1:14" x14ac:dyDescent="0.2">
      <c r="A71" s="226" t="s">
        <v>155</v>
      </c>
      <c r="B71" s="235">
        <v>4</v>
      </c>
      <c r="C71" s="235">
        <v>2000</v>
      </c>
      <c r="D71" s="222">
        <v>215</v>
      </c>
      <c r="E71" s="222">
        <v>350</v>
      </c>
      <c r="F71" s="669">
        <f>816.15*(KONSTD)</f>
        <v>816.15</v>
      </c>
      <c r="G71" s="218"/>
      <c r="H71" s="218"/>
      <c r="I71" s="218"/>
      <c r="J71" s="218"/>
      <c r="K71" s="218"/>
      <c r="L71" s="218"/>
      <c r="M71" s="218"/>
      <c r="N71" s="211"/>
    </row>
    <row r="72" spans="1:14" x14ac:dyDescent="0.2">
      <c r="A72" s="226" t="s">
        <v>156</v>
      </c>
      <c r="B72" s="235">
        <v>5</v>
      </c>
      <c r="C72" s="235">
        <v>2000</v>
      </c>
      <c r="D72" s="222">
        <v>215</v>
      </c>
      <c r="E72" s="222">
        <v>400</v>
      </c>
      <c r="F72" s="669">
        <f>904.17*(KONSTD)</f>
        <v>904.17</v>
      </c>
      <c r="G72" s="218"/>
      <c r="H72" s="218"/>
      <c r="I72" s="218"/>
      <c r="J72" s="218"/>
      <c r="K72" s="218"/>
      <c r="L72" s="218"/>
      <c r="M72" s="218"/>
      <c r="N72" s="211"/>
    </row>
    <row r="73" spans="1:14" x14ac:dyDescent="0.2">
      <c r="A73" s="226" t="s">
        <v>157</v>
      </c>
      <c r="B73" s="235">
        <v>6</v>
      </c>
      <c r="C73" s="235">
        <v>2000</v>
      </c>
      <c r="D73" s="222">
        <v>215</v>
      </c>
      <c r="E73" s="222">
        <v>450</v>
      </c>
      <c r="F73" s="669">
        <f>992.05*(KONSTD)</f>
        <v>992.05</v>
      </c>
      <c r="G73" s="218"/>
      <c r="H73" s="218"/>
      <c r="I73" s="218"/>
      <c r="J73" s="218"/>
      <c r="K73" s="218"/>
      <c r="L73" s="218"/>
      <c r="M73" s="218"/>
      <c r="N73" s="211"/>
    </row>
    <row r="74" spans="1:14" x14ac:dyDescent="0.2">
      <c r="A74" s="226" t="s">
        <v>158</v>
      </c>
      <c r="B74" s="235">
        <v>7</v>
      </c>
      <c r="C74" s="235">
        <v>2000</v>
      </c>
      <c r="D74" s="222">
        <v>215</v>
      </c>
      <c r="E74" s="222">
        <v>500</v>
      </c>
      <c r="F74" s="669">
        <f>1080.22*(KONSTD)</f>
        <v>1080.22</v>
      </c>
      <c r="G74" s="218"/>
      <c r="H74" s="218"/>
      <c r="I74" s="218"/>
      <c r="J74" s="218"/>
      <c r="K74" s="218"/>
      <c r="L74" s="218"/>
      <c r="M74" s="218"/>
      <c r="N74" s="211"/>
    </row>
    <row r="75" spans="1:14" x14ac:dyDescent="0.2">
      <c r="A75" s="226" t="s">
        <v>159</v>
      </c>
      <c r="B75" s="235">
        <v>4</v>
      </c>
      <c r="C75" s="235">
        <v>2500</v>
      </c>
      <c r="D75" s="222">
        <v>215</v>
      </c>
      <c r="E75" s="222">
        <v>350</v>
      </c>
      <c r="F75" s="669">
        <f>840.81*(KONSTD)</f>
        <v>840.81</v>
      </c>
      <c r="G75" s="218"/>
      <c r="H75" s="218"/>
      <c r="I75" s="218"/>
      <c r="J75" s="218"/>
      <c r="K75" s="218"/>
      <c r="L75" s="218"/>
      <c r="M75" s="218"/>
      <c r="N75" s="211"/>
    </row>
    <row r="76" spans="1:14" x14ac:dyDescent="0.2">
      <c r="A76" s="226" t="s">
        <v>160</v>
      </c>
      <c r="B76" s="235">
        <v>5</v>
      </c>
      <c r="C76" s="235">
        <v>2500</v>
      </c>
      <c r="D76" s="222">
        <v>215</v>
      </c>
      <c r="E76" s="222">
        <v>400</v>
      </c>
      <c r="F76" s="669">
        <f>937.11*(KONSTD)</f>
        <v>937.11</v>
      </c>
      <c r="G76" s="218"/>
      <c r="H76" s="218"/>
      <c r="I76" s="218"/>
      <c r="J76" s="218"/>
      <c r="K76" s="218"/>
      <c r="L76" s="218"/>
      <c r="M76" s="218"/>
      <c r="N76" s="211"/>
    </row>
    <row r="77" spans="1:14" x14ac:dyDescent="0.2">
      <c r="A77" s="226" t="s">
        <v>161</v>
      </c>
      <c r="B77" s="235">
        <v>6</v>
      </c>
      <c r="C77" s="235">
        <v>2500</v>
      </c>
      <c r="D77" s="222">
        <v>215</v>
      </c>
      <c r="E77" s="222">
        <v>450</v>
      </c>
      <c r="F77" s="669">
        <f>1033.7*(KONSTD)</f>
        <v>1033.7</v>
      </c>
      <c r="G77" s="218"/>
      <c r="H77" s="218"/>
      <c r="I77" s="218"/>
      <c r="J77" s="218"/>
      <c r="K77" s="218"/>
      <c r="L77" s="218"/>
      <c r="M77" s="218"/>
      <c r="N77" s="211"/>
    </row>
    <row r="78" spans="1:14" x14ac:dyDescent="0.2">
      <c r="A78" s="226" t="s">
        <v>162</v>
      </c>
      <c r="B78" s="235">
        <v>7</v>
      </c>
      <c r="C78" s="235">
        <v>2500</v>
      </c>
      <c r="D78" s="222">
        <v>215</v>
      </c>
      <c r="E78" s="222">
        <v>500</v>
      </c>
      <c r="F78" s="669">
        <f>1131.47*(KONSTD)</f>
        <v>1131.47</v>
      </c>
      <c r="G78" s="218"/>
      <c r="H78" s="218"/>
      <c r="I78" s="218"/>
      <c r="J78" s="218"/>
      <c r="K78" s="218"/>
      <c r="L78" s="218"/>
      <c r="M78" s="218"/>
      <c r="N78" s="211"/>
    </row>
    <row r="79" spans="1:14" x14ac:dyDescent="0.2">
      <c r="A79" s="226" t="s">
        <v>163</v>
      </c>
      <c r="B79" s="235">
        <v>4</v>
      </c>
      <c r="C79" s="235">
        <v>2800</v>
      </c>
      <c r="D79" s="222">
        <v>215</v>
      </c>
      <c r="E79" s="222">
        <v>350</v>
      </c>
      <c r="F79" s="669">
        <f>866.81*(KONSTD)</f>
        <v>866.81</v>
      </c>
      <c r="G79" s="218"/>
      <c r="H79" s="218"/>
      <c r="I79" s="218"/>
      <c r="J79" s="218"/>
      <c r="K79" s="218"/>
      <c r="L79" s="218"/>
      <c r="M79" s="218"/>
      <c r="N79" s="211"/>
    </row>
    <row r="80" spans="1:14" x14ac:dyDescent="0.2">
      <c r="A80" s="226" t="s">
        <v>164</v>
      </c>
      <c r="B80" s="235">
        <v>5</v>
      </c>
      <c r="C80" s="235">
        <v>2800</v>
      </c>
      <c r="D80" s="222">
        <v>215</v>
      </c>
      <c r="E80" s="222">
        <v>400</v>
      </c>
      <c r="F80" s="669">
        <f>971.23*(KONSTD)</f>
        <v>971.23</v>
      </c>
      <c r="G80" s="218"/>
      <c r="H80" s="218"/>
      <c r="I80" s="218"/>
      <c r="J80" s="218"/>
      <c r="K80" s="218"/>
      <c r="L80" s="218"/>
      <c r="M80" s="218"/>
      <c r="N80" s="211"/>
    </row>
    <row r="81" spans="1:14" x14ac:dyDescent="0.2">
      <c r="A81" s="226" t="s">
        <v>165</v>
      </c>
      <c r="B81" s="235">
        <v>6</v>
      </c>
      <c r="C81" s="235">
        <v>2800</v>
      </c>
      <c r="D81" s="222">
        <v>215</v>
      </c>
      <c r="E81" s="222">
        <v>450</v>
      </c>
      <c r="F81" s="669">
        <f>1072.84*(KONSTD)</f>
        <v>1072.8399999999999</v>
      </c>
      <c r="G81" s="218"/>
      <c r="H81" s="10"/>
      <c r="I81" s="218"/>
      <c r="J81" s="218"/>
      <c r="K81" s="218"/>
      <c r="L81" s="218"/>
      <c r="M81" s="218"/>
      <c r="N81" s="211"/>
    </row>
    <row r="82" spans="1:14" x14ac:dyDescent="0.2">
      <c r="A82" s="226" t="s">
        <v>166</v>
      </c>
      <c r="B82" s="235">
        <v>7</v>
      </c>
      <c r="C82" s="235">
        <v>2800</v>
      </c>
      <c r="D82" s="222">
        <v>215</v>
      </c>
      <c r="E82" s="222">
        <v>500</v>
      </c>
      <c r="F82" s="669">
        <f>1177.11*(KONSTD)</f>
        <v>1177.1099999999999</v>
      </c>
      <c r="G82" s="218"/>
      <c r="H82" s="218"/>
      <c r="I82" s="218"/>
      <c r="J82" s="218"/>
      <c r="K82" s="218"/>
      <c r="L82" s="218"/>
      <c r="M82" s="218"/>
      <c r="N82" s="211"/>
    </row>
  </sheetData>
  <sheetProtection formatCells="0" formatColumns="0" formatRows="0" insertColumns="0" insertRows="0" insertHyperlinks="0" deleteColumns="0" deleteRows="0" sort="0" autoFilter="0" pivotTables="0"/>
  <mergeCells count="14">
    <mergeCell ref="F13:I13"/>
    <mergeCell ref="F14:I14"/>
    <mergeCell ref="F15:I15"/>
    <mergeCell ref="A1:M1"/>
    <mergeCell ref="A49:F49"/>
    <mergeCell ref="A17:M17"/>
    <mergeCell ref="B4:C4"/>
    <mergeCell ref="A19:F19"/>
    <mergeCell ref="H19:M19"/>
    <mergeCell ref="F10:H10"/>
    <mergeCell ref="A34:F34"/>
    <mergeCell ref="H42:M42"/>
    <mergeCell ref="F11:I11"/>
    <mergeCell ref="F12:I12"/>
  </mergeCells>
  <phoneticPr fontId="3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selection activeCell="F2" sqref="F2"/>
    </sheetView>
  </sheetViews>
  <sheetFormatPr defaultRowHeight="12.75" x14ac:dyDescent="0.2"/>
  <cols>
    <col min="12" max="12" width="9.85546875" customWidth="1"/>
    <col min="15" max="15" width="10.140625" bestFit="1" customWidth="1"/>
  </cols>
  <sheetData>
    <row r="1" spans="1:15" ht="20.25" x14ac:dyDescent="0.3">
      <c r="A1" s="749" t="s">
        <v>384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207"/>
    </row>
    <row r="2" spans="1:15" ht="15.75" x14ac:dyDescent="0.25">
      <c r="A2" s="5" t="s">
        <v>170</v>
      </c>
      <c r="B2" s="6"/>
      <c r="C2" s="6"/>
      <c r="D2" s="7"/>
      <c r="E2" s="22" t="s">
        <v>172</v>
      </c>
      <c r="F2" s="41">
        <v>0</v>
      </c>
      <c r="G2" s="6"/>
      <c r="H2" s="6"/>
      <c r="I2" s="6"/>
      <c r="J2" s="6"/>
      <c r="K2" s="6"/>
      <c r="L2" s="6"/>
      <c r="M2" s="6"/>
      <c r="N2" s="8" t="s">
        <v>416</v>
      </c>
    </row>
    <row r="3" spans="1:15" ht="8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6" customHeight="1" x14ac:dyDescent="0.2">
      <c r="A4" s="9"/>
      <c r="B4" s="6"/>
      <c r="C4" s="6"/>
      <c r="D4" s="6"/>
      <c r="E4" s="6"/>
      <c r="F4" s="6"/>
      <c r="G4" s="6"/>
      <c r="H4" s="6"/>
      <c r="I4" s="10"/>
      <c r="J4" s="10"/>
      <c r="K4" s="6"/>
      <c r="L4" s="6"/>
      <c r="M4" s="6"/>
      <c r="N4" s="6"/>
      <c r="O4" s="6"/>
    </row>
    <row r="5" spans="1:15" x14ac:dyDescent="0.2">
      <c r="N5" s="10"/>
      <c r="O5" s="10"/>
    </row>
    <row r="6" spans="1:15" x14ac:dyDescent="0.2">
      <c r="N6" s="10"/>
      <c r="O6" s="10"/>
    </row>
    <row r="7" spans="1:15" ht="13.5" thickBot="1" x14ac:dyDescent="0.25">
      <c r="N7" s="10"/>
      <c r="O7" s="10"/>
    </row>
    <row r="8" spans="1:15" ht="14.25" thickTop="1" thickBot="1" x14ac:dyDescent="0.25">
      <c r="A8" s="690"/>
      <c r="B8" s="691"/>
      <c r="C8" s="587"/>
      <c r="D8" s="692"/>
      <c r="E8" s="693" t="s">
        <v>170</v>
      </c>
      <c r="H8" s="673" t="s">
        <v>438</v>
      </c>
      <c r="I8" s="680" t="s">
        <v>439</v>
      </c>
      <c r="J8" s="674"/>
      <c r="K8" s="674"/>
      <c r="L8" s="681"/>
      <c r="M8" s="675" t="s">
        <v>170</v>
      </c>
      <c r="N8" s="10"/>
      <c r="O8" s="10"/>
    </row>
    <row r="9" spans="1:15" ht="13.5" thickTop="1" x14ac:dyDescent="0.2">
      <c r="A9" s="686" t="s">
        <v>420</v>
      </c>
      <c r="B9" s="687" t="s">
        <v>421</v>
      </c>
      <c r="C9" s="476"/>
      <c r="D9" s="688"/>
      <c r="E9" s="689">
        <f>76*(KONSTL)</f>
        <v>76</v>
      </c>
      <c r="H9" s="676">
        <v>6200002</v>
      </c>
      <c r="I9" s="682" t="s">
        <v>440</v>
      </c>
      <c r="J9" s="469"/>
      <c r="K9" s="469"/>
      <c r="L9" s="683"/>
      <c r="M9" s="701">
        <f>23.26*(KONSTL)</f>
        <v>23.26</v>
      </c>
      <c r="N9" s="10"/>
      <c r="O9" s="10"/>
    </row>
    <row r="10" spans="1:15" x14ac:dyDescent="0.2">
      <c r="A10" s="676" t="s">
        <v>422</v>
      </c>
      <c r="B10" s="682" t="s">
        <v>423</v>
      </c>
      <c r="C10" s="469"/>
      <c r="D10" s="683"/>
      <c r="E10" s="677">
        <f>76*(KONSTL)</f>
        <v>76</v>
      </c>
      <c r="H10" s="676">
        <v>6200030</v>
      </c>
      <c r="I10" s="682" t="s">
        <v>441</v>
      </c>
      <c r="J10" s="469"/>
      <c r="K10" s="469"/>
      <c r="L10" s="683"/>
      <c r="M10" s="701">
        <f>173*(KONSTL)</f>
        <v>173</v>
      </c>
      <c r="N10" s="10"/>
      <c r="O10" s="10"/>
    </row>
    <row r="11" spans="1:15" x14ac:dyDescent="0.2">
      <c r="A11" s="676" t="s">
        <v>424</v>
      </c>
      <c r="B11" s="682" t="s">
        <v>425</v>
      </c>
      <c r="C11" s="469"/>
      <c r="D11" s="683"/>
      <c r="E11" s="677">
        <f>76*(KONSTL)</f>
        <v>76</v>
      </c>
      <c r="H11" s="676">
        <v>6200031</v>
      </c>
      <c r="I11" s="682" t="s">
        <v>442</v>
      </c>
      <c r="J11" s="469"/>
      <c r="K11" s="469"/>
      <c r="L11" s="683"/>
      <c r="M11" s="701">
        <f>188*(KONSTL)</f>
        <v>188</v>
      </c>
      <c r="N11" s="10"/>
      <c r="O11" s="10"/>
    </row>
    <row r="12" spans="1:15" x14ac:dyDescent="0.2">
      <c r="A12" s="676" t="s">
        <v>428</v>
      </c>
      <c r="B12" s="682" t="s">
        <v>429</v>
      </c>
      <c r="C12" s="469"/>
      <c r="D12" s="683"/>
      <c r="E12" s="677">
        <f>11.44*(KONSTL)</f>
        <v>11.44</v>
      </c>
      <c r="H12" s="676">
        <v>6200032</v>
      </c>
      <c r="I12" s="682" t="s">
        <v>443</v>
      </c>
      <c r="J12" s="469"/>
      <c r="K12" s="469"/>
      <c r="L12" s="683"/>
      <c r="M12" s="701">
        <f>216.53*(KONSTL)</f>
        <v>216.53</v>
      </c>
      <c r="N12" s="10"/>
      <c r="O12" s="10"/>
    </row>
    <row r="13" spans="1:15" x14ac:dyDescent="0.2">
      <c r="A13" s="676" t="s">
        <v>430</v>
      </c>
      <c r="B13" s="682" t="s">
        <v>431</v>
      </c>
      <c r="C13" s="469"/>
      <c r="D13" s="683"/>
      <c r="E13" s="677">
        <f>29*(KONSTL)</f>
        <v>29</v>
      </c>
      <c r="H13" s="676">
        <v>6200033</v>
      </c>
      <c r="I13" s="682" t="s">
        <v>444</v>
      </c>
      <c r="J13" s="469"/>
      <c r="K13" s="469"/>
      <c r="L13" s="683"/>
      <c r="M13" s="701">
        <f>182.82*(KONSTL)</f>
        <v>182.82</v>
      </c>
      <c r="N13" s="6"/>
      <c r="O13" s="6"/>
    </row>
    <row r="14" spans="1:15" x14ac:dyDescent="0.2">
      <c r="A14" s="676" t="s">
        <v>426</v>
      </c>
      <c r="B14" s="682" t="s">
        <v>427</v>
      </c>
      <c r="C14" s="469"/>
      <c r="D14" s="683"/>
      <c r="E14" s="677">
        <f>36*(KONSTL)</f>
        <v>36</v>
      </c>
      <c r="H14" s="676">
        <v>6200034</v>
      </c>
      <c r="I14" s="682" t="s">
        <v>445</v>
      </c>
      <c r="J14" s="469"/>
      <c r="K14" s="469"/>
      <c r="L14" s="683"/>
      <c r="M14" s="701">
        <f>182.82*(KONSTL)</f>
        <v>182.82</v>
      </c>
      <c r="N14" s="6"/>
      <c r="O14" s="6"/>
    </row>
    <row r="15" spans="1:15" x14ac:dyDescent="0.2">
      <c r="A15" s="676" t="s">
        <v>432</v>
      </c>
      <c r="B15" s="682" t="s">
        <v>433</v>
      </c>
      <c r="C15" s="469"/>
      <c r="D15" s="683"/>
      <c r="E15" s="677">
        <f>132.88*(KONSTL)</f>
        <v>132.88</v>
      </c>
      <c r="H15" s="676">
        <v>6200035</v>
      </c>
      <c r="I15" s="682" t="s">
        <v>446</v>
      </c>
      <c r="J15" s="469"/>
      <c r="K15" s="469"/>
      <c r="L15" s="683"/>
      <c r="M15" s="701">
        <f>226.88*(KONSTL)</f>
        <v>226.88</v>
      </c>
      <c r="N15" s="6"/>
      <c r="O15" s="6"/>
    </row>
    <row r="16" spans="1:15" x14ac:dyDescent="0.2">
      <c r="A16" s="676" t="s">
        <v>434</v>
      </c>
      <c r="B16" s="682" t="s">
        <v>435</v>
      </c>
      <c r="C16" s="469"/>
      <c r="D16" s="683"/>
      <c r="E16" s="677">
        <f>132.88*(KONSTL)</f>
        <v>132.88</v>
      </c>
      <c r="H16" s="676">
        <v>6200040</v>
      </c>
      <c r="I16" s="682" t="s">
        <v>447</v>
      </c>
      <c r="J16" s="469"/>
      <c r="K16" s="469"/>
      <c r="L16" s="683"/>
      <c r="M16" s="701">
        <f>36.24*(KONSTL)</f>
        <v>36.24</v>
      </c>
      <c r="N16" s="6"/>
      <c r="O16" s="6"/>
    </row>
    <row r="17" spans="1:27" ht="13.5" thickBot="1" x14ac:dyDescent="0.25">
      <c r="A17" s="678" t="s">
        <v>436</v>
      </c>
      <c r="B17" s="684" t="s">
        <v>437</v>
      </c>
      <c r="C17" s="645"/>
      <c r="D17" s="685"/>
      <c r="E17" s="679">
        <f>20.62*(KONSTL)</f>
        <v>20.62</v>
      </c>
      <c r="H17" s="676">
        <v>6200091</v>
      </c>
      <c r="I17" s="682" t="s">
        <v>448</v>
      </c>
      <c r="J17" s="469"/>
      <c r="K17" s="469"/>
      <c r="L17" s="683"/>
      <c r="M17" s="701">
        <f>35.29*(KONSTL)</f>
        <v>35.29</v>
      </c>
      <c r="N17" s="6"/>
      <c r="O17" s="6"/>
    </row>
    <row r="18" spans="1:27" ht="13.5" thickTop="1" x14ac:dyDescent="0.2">
      <c r="H18" s="676">
        <v>6200099</v>
      </c>
      <c r="I18" s="682" t="s">
        <v>449</v>
      </c>
      <c r="J18" s="469"/>
      <c r="K18" s="469"/>
      <c r="L18" s="683"/>
      <c r="M18" s="701">
        <f>29.12*(KONSTL)</f>
        <v>29.12</v>
      </c>
      <c r="N18" s="6"/>
      <c r="O18" s="6"/>
    </row>
    <row r="19" spans="1:27" x14ac:dyDescent="0.2">
      <c r="H19" s="676">
        <v>6200101</v>
      </c>
      <c r="I19" s="682" t="s">
        <v>450</v>
      </c>
      <c r="J19" s="469"/>
      <c r="K19" s="469"/>
      <c r="L19" s="683"/>
      <c r="M19" s="701">
        <f>20*(KONSTL)</f>
        <v>20</v>
      </c>
      <c r="N19" s="6"/>
      <c r="O19" s="6"/>
    </row>
    <row r="20" spans="1:27" x14ac:dyDescent="0.2">
      <c r="H20" s="676">
        <v>6200102</v>
      </c>
      <c r="I20" s="682" t="s">
        <v>451</v>
      </c>
      <c r="J20" s="469"/>
      <c r="K20" s="469"/>
      <c r="L20" s="683"/>
      <c r="M20" s="701">
        <f>26.18*(KONSTL)</f>
        <v>26.18</v>
      </c>
      <c r="N20" s="6"/>
      <c r="O20" s="6"/>
    </row>
    <row r="21" spans="1:27" x14ac:dyDescent="0.2">
      <c r="H21" s="676">
        <v>6203000</v>
      </c>
      <c r="I21" s="682" t="s">
        <v>452</v>
      </c>
      <c r="J21" s="469"/>
      <c r="K21" s="469"/>
      <c r="L21" s="683"/>
      <c r="M21" s="701">
        <f>21.62*(KONSTL)</f>
        <v>21.62</v>
      </c>
      <c r="N21" s="6"/>
      <c r="O21" s="6"/>
    </row>
    <row r="22" spans="1:27" x14ac:dyDescent="0.2">
      <c r="H22" s="676">
        <v>6203002</v>
      </c>
      <c r="I22" s="682" t="s">
        <v>453</v>
      </c>
      <c r="J22" s="469"/>
      <c r="K22" s="469"/>
      <c r="L22" s="683"/>
      <c r="M22" s="701">
        <f>21.62*(KONSTL)</f>
        <v>21.62</v>
      </c>
      <c r="N22" s="6"/>
      <c r="O22" s="6"/>
    </row>
    <row r="23" spans="1:27" x14ac:dyDescent="0.2">
      <c r="H23" s="676">
        <v>6203010</v>
      </c>
      <c r="I23" s="682" t="s">
        <v>454</v>
      </c>
      <c r="J23" s="469"/>
      <c r="K23" s="469"/>
      <c r="L23" s="683"/>
      <c r="M23" s="701">
        <f>19.62*(KONSTL)</f>
        <v>19.62</v>
      </c>
      <c r="N23" s="6"/>
      <c r="O23" s="6"/>
    </row>
    <row r="24" spans="1:27" x14ac:dyDescent="0.2">
      <c r="H24" s="676">
        <v>6203011</v>
      </c>
      <c r="I24" s="682" t="s">
        <v>455</v>
      </c>
      <c r="J24" s="469"/>
      <c r="K24" s="469"/>
      <c r="L24" s="683"/>
      <c r="M24" s="701">
        <f>33.24*(KONSTL)</f>
        <v>33.24</v>
      </c>
      <c r="N24" s="6"/>
      <c r="O24" s="6"/>
    </row>
    <row r="25" spans="1:27" x14ac:dyDescent="0.2">
      <c r="H25" s="676">
        <v>6203012</v>
      </c>
      <c r="I25" s="682" t="s">
        <v>456</v>
      </c>
      <c r="J25" s="469"/>
      <c r="K25" s="469"/>
      <c r="L25" s="683"/>
      <c r="M25" s="701">
        <f>19.62*(KONSTL)</f>
        <v>19.62</v>
      </c>
      <c r="N25" s="6"/>
      <c r="O25" s="6"/>
    </row>
    <row r="26" spans="1:27" ht="13.5" thickBot="1" x14ac:dyDescent="0.25">
      <c r="H26" s="678">
        <v>6203013</v>
      </c>
      <c r="I26" s="684" t="s">
        <v>457</v>
      </c>
      <c r="J26" s="645"/>
      <c r="K26" s="645"/>
      <c r="L26" s="685"/>
      <c r="M26" s="702">
        <f>33.24*(KONSTL)</f>
        <v>33.24</v>
      </c>
      <c r="N26" s="6"/>
      <c r="O26" s="6"/>
    </row>
    <row r="27" spans="1:27" ht="14.25" thickTop="1" thickBot="1" x14ac:dyDescent="0.25">
      <c r="A27" s="11" t="s">
        <v>380</v>
      </c>
      <c r="B27" s="6"/>
      <c r="C27" s="6"/>
      <c r="D27" s="6"/>
      <c r="G27" s="10"/>
      <c r="H27" s="10"/>
      <c r="I27" s="10"/>
      <c r="J27" s="10"/>
      <c r="K27" s="6"/>
      <c r="L27" s="10"/>
      <c r="M27" s="10"/>
      <c r="N27" s="6"/>
      <c r="O27" s="6"/>
      <c r="V27" s="694"/>
      <c r="W27" s="98"/>
      <c r="X27" s="98"/>
      <c r="Y27" s="98"/>
      <c r="Z27" s="98"/>
      <c r="AA27" s="695"/>
    </row>
    <row r="28" spans="1:27" ht="17.25" thickTop="1" thickBot="1" x14ac:dyDescent="0.3">
      <c r="A28" s="12" t="s">
        <v>174</v>
      </c>
      <c r="B28" s="13" t="s">
        <v>381</v>
      </c>
      <c r="C28" s="14" t="s">
        <v>170</v>
      </c>
      <c r="D28" s="6"/>
      <c r="E28" s="10"/>
      <c r="F28" s="10"/>
      <c r="G28" s="10"/>
      <c r="H28" s="10"/>
      <c r="I28" s="10"/>
      <c r="J28" s="10"/>
      <c r="K28" s="6"/>
      <c r="L28" s="10"/>
      <c r="M28" s="10"/>
      <c r="N28" s="6"/>
      <c r="O28" s="6"/>
      <c r="V28" s="696"/>
      <c r="W28" s="98"/>
      <c r="X28" s="697"/>
      <c r="Y28" s="98"/>
      <c r="Z28" s="98"/>
      <c r="AA28" s="698"/>
    </row>
    <row r="29" spans="1:27" ht="17.25" thickTop="1" thickBot="1" x14ac:dyDescent="0.3">
      <c r="A29" s="15" t="s">
        <v>382</v>
      </c>
      <c r="B29" s="16"/>
      <c r="C29" s="356"/>
      <c r="D29" s="6"/>
      <c r="E29" s="10"/>
      <c r="F29" s="10"/>
      <c r="G29" s="10"/>
      <c r="H29" s="11" t="s">
        <v>385</v>
      </c>
      <c r="I29" s="6"/>
      <c r="J29" s="6"/>
      <c r="K29" s="6"/>
      <c r="L29" s="6"/>
      <c r="M29" s="10"/>
      <c r="N29" s="6"/>
      <c r="O29" s="6"/>
      <c r="V29" s="696"/>
      <c r="W29" s="98"/>
      <c r="X29" s="697"/>
      <c r="Y29" s="98"/>
      <c r="Z29" s="98"/>
      <c r="AA29" s="698"/>
    </row>
    <row r="30" spans="1:27" ht="16.5" thickTop="1" thickBot="1" x14ac:dyDescent="0.3">
      <c r="A30" s="17">
        <v>300</v>
      </c>
      <c r="B30" s="18" t="s">
        <v>11</v>
      </c>
      <c r="C30" s="360">
        <f t="shared" ref="C30:C35" si="0">9.64*(KONSTL)</f>
        <v>9.64</v>
      </c>
      <c r="D30" s="6"/>
      <c r="E30" s="10"/>
      <c r="F30" s="10"/>
      <c r="G30" s="10"/>
      <c r="H30" s="19" t="s">
        <v>171</v>
      </c>
      <c r="I30" s="20">
        <v>11</v>
      </c>
      <c r="J30" s="20" t="s">
        <v>8</v>
      </c>
      <c r="K30" s="20">
        <v>22</v>
      </c>
      <c r="L30" s="205">
        <v>33</v>
      </c>
      <c r="M30" s="206">
        <v>44</v>
      </c>
      <c r="N30" s="6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698"/>
    </row>
    <row r="31" spans="1:27" ht="15.75" thickTop="1" x14ac:dyDescent="0.25">
      <c r="A31" s="17">
        <v>400</v>
      </c>
      <c r="B31" s="18" t="s">
        <v>12</v>
      </c>
      <c r="C31" s="361">
        <f t="shared" si="0"/>
        <v>9.64</v>
      </c>
      <c r="D31" s="6"/>
      <c r="E31" s="10"/>
      <c r="F31" s="10"/>
      <c r="G31" s="10"/>
      <c r="H31" s="370">
        <v>400</v>
      </c>
      <c r="I31" s="377">
        <f>4.43*(KONSTL)</f>
        <v>4.43</v>
      </c>
      <c r="J31" s="290">
        <f>3.38*(KONSTL)</f>
        <v>3.38</v>
      </c>
      <c r="K31" s="290">
        <f>3.38*(KONSTL)</f>
        <v>3.38</v>
      </c>
      <c r="L31" s="291">
        <f>5.06*(KONSTL)</f>
        <v>5.0599999999999996</v>
      </c>
      <c r="M31" s="372" t="s">
        <v>74</v>
      </c>
      <c r="N31" s="6"/>
      <c r="O31" s="703"/>
      <c r="P31" s="703"/>
      <c r="Q31" s="703"/>
      <c r="R31" s="703"/>
      <c r="S31" s="703"/>
      <c r="T31" s="703"/>
      <c r="U31" s="703"/>
      <c r="V31" s="703"/>
      <c r="W31" s="703"/>
      <c r="X31" s="703"/>
      <c r="Y31" s="703"/>
      <c r="Z31" s="703"/>
      <c r="AA31" s="698"/>
    </row>
    <row r="32" spans="1:27" ht="15.75" thickBot="1" x14ac:dyDescent="0.3">
      <c r="A32" s="17">
        <v>450</v>
      </c>
      <c r="B32" s="18" t="s">
        <v>13</v>
      </c>
      <c r="C32" s="361">
        <f t="shared" si="0"/>
        <v>9.64</v>
      </c>
      <c r="D32" s="6"/>
      <c r="G32" s="10"/>
      <c r="H32" s="371">
        <v>500</v>
      </c>
      <c r="I32" s="378">
        <f>5.14*(KONSTL)</f>
        <v>5.14</v>
      </c>
      <c r="J32" s="288">
        <f>3.8*(KONSTL)</f>
        <v>3.8</v>
      </c>
      <c r="K32" s="288">
        <f>3.8*(KONSTL)</f>
        <v>3.8</v>
      </c>
      <c r="L32" s="289">
        <f>5.62*(KONSTL)</f>
        <v>5.62</v>
      </c>
      <c r="M32" s="373" t="s">
        <v>74</v>
      </c>
      <c r="N32" s="6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698"/>
    </row>
    <row r="33" spans="1:27" ht="15.75" thickTop="1" x14ac:dyDescent="0.25">
      <c r="A33" s="17">
        <v>500</v>
      </c>
      <c r="B33" s="18" t="s">
        <v>14</v>
      </c>
      <c r="C33" s="361">
        <f t="shared" si="0"/>
        <v>9.64</v>
      </c>
      <c r="D33" s="6"/>
      <c r="E33" s="10"/>
      <c r="F33" s="10"/>
      <c r="G33" s="10"/>
      <c r="H33" s="371">
        <v>600</v>
      </c>
      <c r="I33" s="378">
        <f>5.83*(KONSTL)</f>
        <v>5.83</v>
      </c>
      <c r="J33" s="288">
        <f>4.21*(KONSTL)</f>
        <v>4.21</v>
      </c>
      <c r="K33" s="288">
        <f>4.21*(KONSTL)</f>
        <v>4.21</v>
      </c>
      <c r="L33" s="289">
        <f>6.33*(KONSTL)</f>
        <v>6.33</v>
      </c>
      <c r="M33" s="374">
        <f>27.47*(KONSTL)</f>
        <v>27.47</v>
      </c>
      <c r="N33" s="6"/>
      <c r="O33" s="703"/>
      <c r="P33" s="703"/>
      <c r="Q33" s="703"/>
      <c r="R33" s="703"/>
      <c r="S33" s="703"/>
      <c r="T33" s="703"/>
      <c r="U33" s="703"/>
      <c r="V33" s="703"/>
      <c r="W33" s="703"/>
      <c r="X33" s="703"/>
      <c r="Y33" s="703"/>
      <c r="Z33" s="703"/>
      <c r="AA33" s="698"/>
    </row>
    <row r="34" spans="1:27" ht="15" x14ac:dyDescent="0.25">
      <c r="A34" s="17">
        <v>600</v>
      </c>
      <c r="B34" s="18" t="s">
        <v>15</v>
      </c>
      <c r="C34" s="361">
        <f t="shared" si="0"/>
        <v>9.64</v>
      </c>
      <c r="D34" s="6"/>
      <c r="E34" s="105"/>
      <c r="F34" s="10"/>
      <c r="G34" s="10"/>
      <c r="H34" s="371">
        <v>700</v>
      </c>
      <c r="I34" s="378">
        <f>6.33*(KONSTL)</f>
        <v>6.33</v>
      </c>
      <c r="J34" s="288">
        <f>4.5*(KONSTL)</f>
        <v>4.5</v>
      </c>
      <c r="K34" s="288">
        <f>4.5*(KONSTL)</f>
        <v>4.5</v>
      </c>
      <c r="L34" s="289">
        <f>6.68*(KONSTL)</f>
        <v>6.68</v>
      </c>
      <c r="M34" s="375">
        <f>28.41*(KONSTL)</f>
        <v>28.41</v>
      </c>
      <c r="N34" s="6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03"/>
      <c r="AA34" s="698"/>
    </row>
    <row r="35" spans="1:27" ht="15.75" thickBot="1" x14ac:dyDescent="0.3">
      <c r="A35" s="380">
        <v>900</v>
      </c>
      <c r="B35" s="381" t="s">
        <v>16</v>
      </c>
      <c r="C35" s="362">
        <f t="shared" si="0"/>
        <v>9.64</v>
      </c>
      <c r="D35" s="6"/>
      <c r="E35" s="10"/>
      <c r="F35" s="10"/>
      <c r="G35" s="10"/>
      <c r="H35" s="17">
        <v>800</v>
      </c>
      <c r="I35" s="378">
        <f>6.68*(KONSTL)</f>
        <v>6.68</v>
      </c>
      <c r="J35" s="288">
        <f>4.79*(KONSTL)</f>
        <v>4.79</v>
      </c>
      <c r="K35" s="288">
        <f>4.79*(KONSTL)</f>
        <v>4.79</v>
      </c>
      <c r="L35" s="289">
        <f>6.82*(KONSTL)</f>
        <v>6.82</v>
      </c>
      <c r="M35" s="375">
        <f>29.35*(KONSTL)</f>
        <v>29.35</v>
      </c>
      <c r="N35" s="6"/>
      <c r="O35" s="703"/>
      <c r="P35" s="703"/>
      <c r="Q35" s="703"/>
      <c r="R35" s="703"/>
      <c r="S35" s="703"/>
      <c r="T35" s="703"/>
      <c r="U35" s="703"/>
      <c r="V35" s="703"/>
      <c r="W35" s="703"/>
      <c r="X35" s="703"/>
      <c r="Y35" s="703"/>
      <c r="Z35" s="703"/>
      <c r="AA35" s="698"/>
    </row>
    <row r="36" spans="1:27" ht="16.5" thickTop="1" thickBot="1" x14ac:dyDescent="0.3">
      <c r="A36" s="12" t="s">
        <v>240</v>
      </c>
      <c r="B36" s="13"/>
      <c r="C36" s="359"/>
      <c r="D36" s="6"/>
      <c r="E36" s="10"/>
      <c r="F36" s="10"/>
      <c r="G36" s="10"/>
      <c r="H36" s="371">
        <v>900</v>
      </c>
      <c r="I36" s="378">
        <f>7.17*(KONSTL)</f>
        <v>7.17</v>
      </c>
      <c r="J36" s="288">
        <f>5.27*(KONSTL)</f>
        <v>5.27</v>
      </c>
      <c r="K36" s="288">
        <f>5.27*(KONSTL)</f>
        <v>5.27</v>
      </c>
      <c r="L36" s="289">
        <f>7.94*(KONSTL)</f>
        <v>7.94</v>
      </c>
      <c r="M36" s="375">
        <f>30.46*(KONSTL)</f>
        <v>30.46</v>
      </c>
      <c r="N36" s="6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699"/>
    </row>
    <row r="37" spans="1:27" ht="15.75" thickTop="1" x14ac:dyDescent="0.25">
      <c r="A37" s="382">
        <v>300</v>
      </c>
      <c r="B37" s="383" t="s">
        <v>17</v>
      </c>
      <c r="C37" s="360">
        <f t="shared" ref="C37:C42" si="1">9.64*(KONSTL)</f>
        <v>9.64</v>
      </c>
      <c r="D37" s="6"/>
      <c r="E37" s="10"/>
      <c r="F37" s="10"/>
      <c r="G37" s="10"/>
      <c r="H37" s="17">
        <v>1000</v>
      </c>
      <c r="I37" s="378">
        <f>7.52*(KONSTL)</f>
        <v>7.52</v>
      </c>
      <c r="J37" s="288">
        <f>5.83*(KONSTL)</f>
        <v>5.83</v>
      </c>
      <c r="K37" s="288">
        <f>5.62*(KONSTL)</f>
        <v>5.62</v>
      </c>
      <c r="L37" s="289">
        <f>8.79*(KONSTL)</f>
        <v>8.7899999999999991</v>
      </c>
      <c r="M37" s="375">
        <f>31.57*(KONSTL)</f>
        <v>31.57</v>
      </c>
      <c r="N37" s="10"/>
      <c r="O37" s="703"/>
      <c r="P37" s="703"/>
      <c r="Q37" s="703"/>
      <c r="R37" s="703"/>
      <c r="S37" s="703"/>
      <c r="T37" s="703"/>
      <c r="U37" s="703"/>
      <c r="V37" s="703"/>
      <c r="W37" s="703"/>
      <c r="X37" s="703"/>
      <c r="Y37" s="703"/>
      <c r="Z37" s="703"/>
      <c r="AA37" s="700"/>
    </row>
    <row r="38" spans="1:27" ht="15" x14ac:dyDescent="0.25">
      <c r="A38" s="17">
        <v>400</v>
      </c>
      <c r="B38" s="18" t="s">
        <v>18</v>
      </c>
      <c r="C38" s="361">
        <f t="shared" si="1"/>
        <v>9.64</v>
      </c>
      <c r="D38" s="6"/>
      <c r="E38" s="10"/>
      <c r="F38" s="10"/>
      <c r="G38" s="10"/>
      <c r="H38" s="17">
        <v>1100</v>
      </c>
      <c r="I38" s="378">
        <f>8.5*(KONSTL)</f>
        <v>8.5</v>
      </c>
      <c r="J38" s="288">
        <f>6.33*(KONSTL)</f>
        <v>6.33</v>
      </c>
      <c r="K38" s="288">
        <f>6.33*(KONSTL)</f>
        <v>6.33</v>
      </c>
      <c r="L38" s="289">
        <f>9.64*(KONSTL)</f>
        <v>9.64</v>
      </c>
      <c r="M38" s="375">
        <f>32.42*(KONSTL)</f>
        <v>32.42</v>
      </c>
      <c r="N38" s="10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0"/>
    </row>
    <row r="39" spans="1:27" ht="15" x14ac:dyDescent="0.25">
      <c r="A39" s="17">
        <v>450</v>
      </c>
      <c r="B39" s="18" t="s">
        <v>19</v>
      </c>
      <c r="C39" s="361">
        <f t="shared" si="1"/>
        <v>9.64</v>
      </c>
      <c r="D39" s="6"/>
      <c r="E39" s="10"/>
      <c r="F39" s="10"/>
      <c r="G39" s="10"/>
      <c r="H39" s="17">
        <v>1200</v>
      </c>
      <c r="I39" s="378">
        <f>9.42*(KONSTL)</f>
        <v>9.42</v>
      </c>
      <c r="J39" s="288">
        <f>6.68*(KONSTL)</f>
        <v>6.68</v>
      </c>
      <c r="K39" s="288">
        <f>6.4*(KONSTL)</f>
        <v>6.4</v>
      </c>
      <c r="L39" s="289">
        <f>10.47*(KONSTL)</f>
        <v>10.47</v>
      </c>
      <c r="M39" s="375">
        <f>33.61*(KONSTL)</f>
        <v>33.61</v>
      </c>
      <c r="N39" s="10"/>
      <c r="O39" s="703"/>
      <c r="P39" s="703"/>
      <c r="Q39" s="703"/>
      <c r="R39" s="703"/>
      <c r="S39" s="703"/>
      <c r="T39" s="703"/>
      <c r="U39" s="703"/>
      <c r="V39" s="703"/>
      <c r="W39" s="703"/>
      <c r="X39" s="703"/>
      <c r="Y39" s="703"/>
      <c r="Z39" s="703"/>
      <c r="AA39" s="700"/>
    </row>
    <row r="40" spans="1:27" ht="15" x14ac:dyDescent="0.25">
      <c r="A40" s="17">
        <v>500</v>
      </c>
      <c r="B40" s="18" t="s">
        <v>20</v>
      </c>
      <c r="C40" s="361">
        <f t="shared" si="1"/>
        <v>9.64</v>
      </c>
      <c r="D40" s="6"/>
      <c r="E40" s="10"/>
      <c r="F40" s="10"/>
      <c r="G40" s="10"/>
      <c r="H40" s="17">
        <v>1400</v>
      </c>
      <c r="I40" s="378">
        <f>10.68*(KONSTL)</f>
        <v>10.68</v>
      </c>
      <c r="J40" s="288">
        <f>7.94*(KONSTL)</f>
        <v>7.94</v>
      </c>
      <c r="K40" s="288">
        <f>7.59*(KONSTL)</f>
        <v>7.59</v>
      </c>
      <c r="L40" s="289">
        <f>11.95*(KONSTL)</f>
        <v>11.95</v>
      </c>
      <c r="M40" s="375">
        <f>38.22*(KONSTL)</f>
        <v>38.22</v>
      </c>
      <c r="N40" s="10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0"/>
    </row>
    <row r="41" spans="1:27" ht="15" x14ac:dyDescent="0.25">
      <c r="A41" s="17">
        <v>600</v>
      </c>
      <c r="B41" s="18" t="s">
        <v>21</v>
      </c>
      <c r="C41" s="361">
        <f t="shared" si="1"/>
        <v>9.64</v>
      </c>
      <c r="D41" s="6"/>
      <c r="E41" s="10"/>
      <c r="F41" s="10"/>
      <c r="G41" s="10"/>
      <c r="H41" s="17">
        <v>1600</v>
      </c>
      <c r="I41" s="378">
        <f>12.09*(KONSTL)</f>
        <v>12.09</v>
      </c>
      <c r="J41" s="288">
        <f>9.42*(KONSTL)</f>
        <v>9.42</v>
      </c>
      <c r="K41" s="288">
        <f>9.42*(KONSTL)</f>
        <v>9.42</v>
      </c>
      <c r="L41" s="289">
        <f>13.64*(KONSTL)</f>
        <v>13.64</v>
      </c>
      <c r="M41" s="375">
        <f>40.52*(KONSTL)</f>
        <v>40.520000000000003</v>
      </c>
      <c r="N41" s="10"/>
      <c r="O41" s="703"/>
      <c r="P41" s="703"/>
      <c r="Q41" s="703"/>
      <c r="R41" s="703"/>
      <c r="S41" s="703"/>
      <c r="T41" s="703"/>
      <c r="U41" s="703"/>
      <c r="V41" s="703"/>
      <c r="W41" s="703"/>
      <c r="X41" s="703"/>
      <c r="Y41" s="703"/>
      <c r="Z41" s="703"/>
      <c r="AA41" s="700"/>
    </row>
    <row r="42" spans="1:27" ht="15.75" thickBot="1" x14ac:dyDescent="0.3">
      <c r="A42" s="380">
        <v>900</v>
      </c>
      <c r="B42" s="381" t="s">
        <v>22</v>
      </c>
      <c r="C42" s="362">
        <f t="shared" si="1"/>
        <v>9.64</v>
      </c>
      <c r="D42" s="6"/>
      <c r="E42" s="10"/>
      <c r="F42" s="10"/>
      <c r="G42" s="10"/>
      <c r="H42" s="17">
        <v>1800</v>
      </c>
      <c r="I42" s="378">
        <f>14.7*(KONSTL)</f>
        <v>14.7</v>
      </c>
      <c r="J42" s="288">
        <f>11.32*(KONSTL)</f>
        <v>11.32</v>
      </c>
      <c r="K42" s="288">
        <f>11.32*(KONSTL)</f>
        <v>11.32</v>
      </c>
      <c r="L42" s="289">
        <f>15.05*(KONSTL)</f>
        <v>15.05</v>
      </c>
      <c r="M42" s="375">
        <f>41.46*(KONSTL)</f>
        <v>41.46</v>
      </c>
      <c r="N42" s="10"/>
      <c r="O42" s="703"/>
      <c r="P42" s="703"/>
      <c r="Q42" s="703"/>
      <c r="R42" s="703"/>
      <c r="S42" s="703"/>
      <c r="T42" s="703"/>
      <c r="U42" s="703"/>
      <c r="V42" s="703"/>
      <c r="W42" s="703"/>
      <c r="X42" s="703"/>
      <c r="Y42" s="703"/>
      <c r="Z42" s="703"/>
      <c r="AA42" s="700"/>
    </row>
    <row r="43" spans="1:27" ht="16.5" thickTop="1" thickBot="1" x14ac:dyDescent="0.3">
      <c r="A43" s="384" t="s">
        <v>383</v>
      </c>
      <c r="B43" s="13"/>
      <c r="C43" s="359"/>
      <c r="D43" s="6"/>
      <c r="E43" s="209" t="s">
        <v>365</v>
      </c>
      <c r="F43" s="10"/>
      <c r="G43" s="10"/>
      <c r="H43" s="17">
        <v>2000</v>
      </c>
      <c r="I43" s="378">
        <f>16.73*(KONSTL)</f>
        <v>16.73</v>
      </c>
      <c r="J43" s="288">
        <f>13.15*(KONSTL)</f>
        <v>13.15</v>
      </c>
      <c r="K43" s="288">
        <f>13.15*(KONSTL)</f>
        <v>13.15</v>
      </c>
      <c r="L43" s="289">
        <f>16.94*(KONSTL)</f>
        <v>16.940000000000001</v>
      </c>
      <c r="M43" s="375">
        <f>43.77*(KONSTL)</f>
        <v>43.77</v>
      </c>
      <c r="N43" s="10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0"/>
    </row>
    <row r="44" spans="1:27" ht="15.75" thickTop="1" x14ac:dyDescent="0.25">
      <c r="A44" s="382">
        <v>300</v>
      </c>
      <c r="B44" s="383" t="s">
        <v>23</v>
      </c>
      <c r="C44" s="360">
        <f t="shared" ref="C44:C49" si="2">9.64*(KONSTL)</f>
        <v>9.64</v>
      </c>
      <c r="D44" s="6"/>
      <c r="E44" s="10"/>
      <c r="F44" s="10"/>
      <c r="G44" s="10"/>
      <c r="H44" s="17">
        <v>2300</v>
      </c>
      <c r="I44" s="378">
        <f>18.41*(KONSTL)</f>
        <v>18.41</v>
      </c>
      <c r="J44" s="288">
        <f>15.05*(KONSTL)</f>
        <v>15.05</v>
      </c>
      <c r="K44" s="288">
        <f>15.05*(KONSTL)</f>
        <v>15.05</v>
      </c>
      <c r="L44" s="289">
        <f>18.21*(KONSTL)</f>
        <v>18.21</v>
      </c>
      <c r="M44" s="375">
        <f>51.87*(KONSTL)</f>
        <v>51.87</v>
      </c>
      <c r="N44" s="10"/>
      <c r="O44" s="703"/>
      <c r="P44" s="703"/>
      <c r="Q44" s="703"/>
      <c r="R44" s="703"/>
      <c r="S44" s="703"/>
      <c r="T44" s="703"/>
      <c r="U44" s="703"/>
      <c r="V44" s="703"/>
      <c r="W44" s="703"/>
      <c r="X44" s="703"/>
      <c r="Y44" s="703"/>
      <c r="Z44" s="703"/>
    </row>
    <row r="45" spans="1:27" ht="15" x14ac:dyDescent="0.25">
      <c r="A45" s="17">
        <v>400</v>
      </c>
      <c r="B45" s="18" t="s">
        <v>24</v>
      </c>
      <c r="C45" s="361">
        <f t="shared" si="2"/>
        <v>9.64</v>
      </c>
      <c r="D45" s="6"/>
      <c r="E45" s="105"/>
      <c r="F45" s="10"/>
      <c r="G45" s="10"/>
      <c r="H45" s="17">
        <v>2600</v>
      </c>
      <c r="I45" s="378">
        <f>21.52*(KONSTL)</f>
        <v>21.52</v>
      </c>
      <c r="J45" s="288">
        <f>17.37*(KONSTL)</f>
        <v>17.37</v>
      </c>
      <c r="K45" s="288">
        <f>17.37*(KONSTL)</f>
        <v>17.37</v>
      </c>
      <c r="L45" s="289">
        <f>19.61*(KONSTL)</f>
        <v>19.61</v>
      </c>
      <c r="M45" s="375">
        <f>56.82*(KONSTL)</f>
        <v>56.82</v>
      </c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</row>
    <row r="46" spans="1:27" ht="15.75" thickBot="1" x14ac:dyDescent="0.3">
      <c r="A46" s="17">
        <v>450</v>
      </c>
      <c r="B46" s="18" t="s">
        <v>25</v>
      </c>
      <c r="C46" s="361">
        <f t="shared" si="2"/>
        <v>9.64</v>
      </c>
      <c r="D46" s="6"/>
      <c r="E46" s="9"/>
      <c r="F46" s="6"/>
      <c r="G46" s="6"/>
      <c r="H46" s="27">
        <v>3000</v>
      </c>
      <c r="I46" s="379">
        <f>23.84*(KONSTL)</f>
        <v>23.84</v>
      </c>
      <c r="J46" s="292">
        <f>19.82*(KONSTL)</f>
        <v>19.82</v>
      </c>
      <c r="K46" s="292">
        <f>19.82*(KONSTL)</f>
        <v>19.82</v>
      </c>
      <c r="L46" s="293">
        <f>22.57*(KONSTL)</f>
        <v>22.57</v>
      </c>
      <c r="M46" s="376">
        <f>61.77*(KONSTL)</f>
        <v>61.77</v>
      </c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</row>
    <row r="47" spans="1:27" ht="13.5" thickTop="1" x14ac:dyDescent="0.2">
      <c r="A47" s="17">
        <v>500</v>
      </c>
      <c r="B47" s="18" t="s">
        <v>26</v>
      </c>
      <c r="C47" s="361">
        <f t="shared" si="2"/>
        <v>9.64</v>
      </c>
      <c r="D47" s="6"/>
      <c r="E47" s="6"/>
      <c r="F47" s="6"/>
      <c r="G47" s="6"/>
      <c r="H47" s="6"/>
      <c r="I47" s="6"/>
      <c r="J47" s="6"/>
      <c r="K47" s="26"/>
      <c r="L47" s="6"/>
      <c r="M47" s="6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</row>
    <row r="48" spans="1:27" ht="13.5" thickBot="1" x14ac:dyDescent="0.25">
      <c r="A48" s="17">
        <v>600</v>
      </c>
      <c r="B48" s="18" t="s">
        <v>27</v>
      </c>
      <c r="C48" s="361">
        <f t="shared" si="2"/>
        <v>9.64</v>
      </c>
      <c r="D48" s="6"/>
      <c r="E48" s="6"/>
      <c r="F48" s="6"/>
      <c r="G48" s="6"/>
      <c r="H48" s="11" t="s">
        <v>391</v>
      </c>
      <c r="I48" s="6"/>
      <c r="J48" s="26"/>
      <c r="K48" s="6"/>
      <c r="L48" s="6"/>
      <c r="M48" s="6"/>
      <c r="O48" s="703"/>
      <c r="P48" s="703"/>
      <c r="Q48" s="703"/>
      <c r="R48" s="703"/>
      <c r="S48" s="703"/>
      <c r="T48" s="703"/>
      <c r="U48" s="703"/>
      <c r="V48" s="703"/>
      <c r="W48" s="703"/>
      <c r="X48" s="703"/>
      <c r="Y48" s="703"/>
      <c r="Z48" s="703"/>
    </row>
    <row r="49" spans="1:26" ht="14.25" thickTop="1" thickBot="1" x14ac:dyDescent="0.25">
      <c r="A49" s="27">
        <v>900</v>
      </c>
      <c r="B49" s="28" t="s">
        <v>28</v>
      </c>
      <c r="C49" s="363">
        <f t="shared" si="2"/>
        <v>9.64</v>
      </c>
      <c r="D49" s="6"/>
      <c r="E49" s="6"/>
      <c r="F49" s="6"/>
      <c r="G49" s="6"/>
      <c r="H49" s="19" t="s">
        <v>171</v>
      </c>
      <c r="I49" s="20" t="s">
        <v>9</v>
      </c>
      <c r="J49" s="20" t="s">
        <v>8</v>
      </c>
      <c r="K49" s="20">
        <v>22</v>
      </c>
      <c r="L49" s="358" t="s">
        <v>10</v>
      </c>
      <c r="M49" s="588">
        <v>44</v>
      </c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703"/>
    </row>
    <row r="50" spans="1:26" ht="14.25" thickTop="1" thickBot="1" x14ac:dyDescent="0.25">
      <c r="A50" s="204">
        <f>(1-F2)</f>
        <v>1</v>
      </c>
      <c r="B50" s="26"/>
      <c r="C50" s="26"/>
      <c r="D50" s="6"/>
      <c r="E50" s="6"/>
      <c r="F50" s="6"/>
      <c r="G50" s="6"/>
      <c r="H50" s="208">
        <v>200</v>
      </c>
      <c r="I50" s="263"/>
      <c r="J50" s="263">
        <f>2.83*(KONSTL)</f>
        <v>2.83</v>
      </c>
      <c r="K50" s="263">
        <f>2.83*(KONSTL)</f>
        <v>2.83</v>
      </c>
      <c r="L50" s="364">
        <f>3.98*(KONSTL)</f>
        <v>3.98</v>
      </c>
      <c r="M50" s="589">
        <f>13.89*(KONSTL)</f>
        <v>13.89</v>
      </c>
      <c r="O50" s="703"/>
      <c r="P50" s="703"/>
      <c r="Q50" s="703"/>
      <c r="R50" s="703"/>
      <c r="S50" s="703"/>
      <c r="T50" s="703"/>
      <c r="U50" s="703"/>
      <c r="V50" s="703"/>
      <c r="W50" s="703"/>
      <c r="X50" s="703"/>
      <c r="Y50" s="703"/>
      <c r="Z50" s="703"/>
    </row>
    <row r="51" spans="1:26" ht="14.25" thickTop="1" thickBot="1" x14ac:dyDescent="0.25">
      <c r="A51" s="29"/>
      <c r="B51" s="30"/>
      <c r="C51" s="30"/>
      <c r="D51" s="30"/>
      <c r="E51" s="31" t="s">
        <v>381</v>
      </c>
      <c r="F51" s="357" t="s">
        <v>170</v>
      </c>
      <c r="G51" s="6"/>
      <c r="H51" s="21">
        <v>300</v>
      </c>
      <c r="I51" s="260">
        <f>3.03*(KONSTL)</f>
        <v>3.03</v>
      </c>
      <c r="J51" s="249">
        <f>2.63*(KONSTL)</f>
        <v>2.63</v>
      </c>
      <c r="K51" s="249">
        <f>2.63*(KONSTL)</f>
        <v>2.63</v>
      </c>
      <c r="L51" s="369">
        <f>3.78*(KONSTL)</f>
        <v>3.78</v>
      </c>
      <c r="M51" s="6"/>
      <c r="O51" s="703"/>
      <c r="P51" s="703"/>
      <c r="Q51" s="703"/>
      <c r="R51" s="703"/>
      <c r="S51" s="703"/>
      <c r="T51" s="703"/>
      <c r="U51" s="703"/>
      <c r="V51" s="703"/>
      <c r="W51" s="703"/>
      <c r="X51" s="703"/>
      <c r="Y51" s="703"/>
      <c r="Z51" s="703"/>
    </row>
    <row r="52" spans="1:26" ht="15.75" thickTop="1" x14ac:dyDescent="0.25">
      <c r="A52" s="32" t="s">
        <v>386</v>
      </c>
      <c r="B52" s="33"/>
      <c r="C52" s="33"/>
      <c r="D52" s="33"/>
      <c r="E52" s="34" t="s">
        <v>29</v>
      </c>
      <c r="F52" s="365">
        <f>30.33*(KONSTL)</f>
        <v>30.33</v>
      </c>
      <c r="G52" s="6"/>
      <c r="H52" s="23">
        <v>400</v>
      </c>
      <c r="I52" s="250">
        <f>3.24*(KONSTL)</f>
        <v>3.24</v>
      </c>
      <c r="J52" s="250">
        <f>2.83*(KONSTL)</f>
        <v>2.83</v>
      </c>
      <c r="K52" s="250">
        <f>2.83*(KONSTL)</f>
        <v>2.83</v>
      </c>
      <c r="L52" s="369">
        <f>3.98*(KONSTL)</f>
        <v>3.98</v>
      </c>
      <c r="M52" s="6"/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</row>
    <row r="53" spans="1:26" ht="15" x14ac:dyDescent="0.25">
      <c r="A53" s="32" t="s">
        <v>387</v>
      </c>
      <c r="B53" s="33"/>
      <c r="C53" s="33"/>
      <c r="D53" s="33"/>
      <c r="E53" s="34" t="s">
        <v>29</v>
      </c>
      <c r="F53" s="366">
        <f>30.33*(KONSTL)</f>
        <v>30.33</v>
      </c>
      <c r="G53" s="6"/>
      <c r="H53" s="23">
        <v>450</v>
      </c>
      <c r="I53" s="261">
        <f>3.3*(KONSTL)</f>
        <v>3.3</v>
      </c>
      <c r="J53" s="250">
        <f>3.03*(KONSTL)</f>
        <v>3.03</v>
      </c>
      <c r="K53" s="250">
        <f>3.03*(KONSTL)</f>
        <v>3.03</v>
      </c>
      <c r="L53" s="369">
        <f>4.25*(KONSTL)</f>
        <v>4.25</v>
      </c>
      <c r="M53" s="6"/>
      <c r="O53" s="703"/>
      <c r="P53" s="703"/>
      <c r="Q53" s="703"/>
      <c r="R53" s="703"/>
      <c r="S53" s="703"/>
      <c r="T53" s="703"/>
      <c r="U53" s="703"/>
      <c r="V53" s="703"/>
      <c r="W53" s="703"/>
      <c r="X53" s="703"/>
      <c r="Y53" s="703"/>
      <c r="Z53" s="703"/>
    </row>
    <row r="54" spans="1:26" x14ac:dyDescent="0.2">
      <c r="A54" s="32" t="s">
        <v>388</v>
      </c>
      <c r="B54" s="33"/>
      <c r="C54" s="33"/>
      <c r="D54" s="33"/>
      <c r="E54" s="34" t="s">
        <v>30</v>
      </c>
      <c r="F54" s="367">
        <f>6.95*(KONSTL)</f>
        <v>6.95</v>
      </c>
      <c r="G54" s="6"/>
      <c r="H54" s="23">
        <v>500</v>
      </c>
      <c r="I54" s="250">
        <f>3.51*(KONSTL)</f>
        <v>3.51</v>
      </c>
      <c r="J54" s="250">
        <f>3.51*(KONSTL)</f>
        <v>3.51</v>
      </c>
      <c r="K54" s="250">
        <f>3.51*(KONSTL)</f>
        <v>3.51</v>
      </c>
      <c r="L54" s="369">
        <f>4.92*(KONSTL)</f>
        <v>4.92</v>
      </c>
      <c r="M54" s="6"/>
      <c r="O54" s="703"/>
      <c r="P54" s="703"/>
      <c r="Q54" s="703"/>
      <c r="R54" s="703"/>
      <c r="S54" s="703"/>
      <c r="T54" s="703"/>
      <c r="U54" s="703"/>
      <c r="V54" s="703"/>
      <c r="W54" s="703"/>
      <c r="X54" s="703"/>
      <c r="Y54" s="703"/>
      <c r="Z54" s="703"/>
    </row>
    <row r="55" spans="1:26" ht="15" x14ac:dyDescent="0.25">
      <c r="A55" s="35" t="s">
        <v>389</v>
      </c>
      <c r="B55" s="36"/>
      <c r="C55" s="36"/>
      <c r="D55" s="36"/>
      <c r="E55" s="34">
        <v>2070500</v>
      </c>
      <c r="F55" s="366">
        <f>5.42*(KONSTL)</f>
        <v>5.42</v>
      </c>
      <c r="G55" s="6"/>
      <c r="H55" s="24">
        <v>600</v>
      </c>
      <c r="I55" s="261">
        <f>4.25*(KONSTL)</f>
        <v>4.25</v>
      </c>
      <c r="J55" s="250">
        <f>3.71*(KONSTL)</f>
        <v>3.71</v>
      </c>
      <c r="K55" s="250">
        <f>3.71*(KONSTL)</f>
        <v>3.71</v>
      </c>
      <c r="L55" s="281">
        <f>5.46*(KONSTL)</f>
        <v>5.46</v>
      </c>
      <c r="M55" s="6"/>
      <c r="O55" s="703"/>
      <c r="P55" s="703"/>
      <c r="Q55" s="703"/>
      <c r="R55" s="703"/>
      <c r="S55" s="703"/>
      <c r="T55" s="703"/>
      <c r="U55" s="703"/>
      <c r="V55" s="703"/>
      <c r="W55" s="703"/>
      <c r="X55" s="703"/>
      <c r="Y55" s="703"/>
      <c r="Z55" s="703"/>
    </row>
    <row r="56" spans="1:26" ht="13.5" thickBot="1" x14ac:dyDescent="0.25">
      <c r="A56" s="37" t="s">
        <v>390</v>
      </c>
      <c r="B56" s="38"/>
      <c r="C56" s="38"/>
      <c r="D56" s="38"/>
      <c r="E56" s="39" t="s">
        <v>31</v>
      </c>
      <c r="F56" s="368">
        <f>1.13*(KONSTL)</f>
        <v>1.1299999999999999</v>
      </c>
      <c r="G56" s="6"/>
      <c r="H56" s="25">
        <v>900</v>
      </c>
      <c r="I56" s="262">
        <f>4.52*(KONSTL)</f>
        <v>4.5199999999999996</v>
      </c>
      <c r="J56" s="262">
        <f>3.71*(KONSTL)</f>
        <v>3.71</v>
      </c>
      <c r="K56" s="262">
        <f>4.32*(KONSTL)</f>
        <v>4.32</v>
      </c>
      <c r="L56" s="363">
        <f>6*(KONSTL)</f>
        <v>6</v>
      </c>
      <c r="M56" s="6"/>
      <c r="O56" s="703"/>
      <c r="P56" s="703"/>
      <c r="Q56" s="703"/>
      <c r="R56" s="703"/>
      <c r="S56" s="703"/>
      <c r="T56" s="703"/>
      <c r="U56" s="703"/>
      <c r="V56" s="703"/>
      <c r="W56" s="703"/>
      <c r="X56" s="703"/>
      <c r="Y56" s="703"/>
      <c r="Z56" s="703"/>
    </row>
    <row r="57" spans="1:26" ht="13.5" thickTop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workbookViewId="0">
      <selection activeCell="C5" sqref="C5"/>
    </sheetView>
  </sheetViews>
  <sheetFormatPr defaultRowHeight="12.75" x14ac:dyDescent="0.2"/>
  <sheetData>
    <row r="1" spans="1:29" ht="19.5" x14ac:dyDescent="0.25">
      <c r="A1" s="44"/>
      <c r="B1" s="44"/>
      <c r="C1" s="44"/>
      <c r="D1" s="45"/>
      <c r="E1" s="385" t="s">
        <v>242</v>
      </c>
      <c r="F1" s="44"/>
      <c r="G1" s="47"/>
      <c r="H1" s="385"/>
      <c r="I1" s="385"/>
      <c r="J1" s="558"/>
      <c r="K1" s="558"/>
    </row>
    <row r="2" spans="1:29" ht="15" x14ac:dyDescent="0.2">
      <c r="A2" s="48" t="s">
        <v>171</v>
      </c>
      <c r="B2" s="49"/>
      <c r="C2" s="49"/>
      <c r="D2" s="715" t="s">
        <v>416</v>
      </c>
      <c r="E2" s="716"/>
      <c r="F2" s="49"/>
      <c r="G2" s="49"/>
    </row>
    <row r="3" spans="1:29" x14ac:dyDescent="0.2">
      <c r="A3" s="49"/>
      <c r="B3" s="49"/>
      <c r="C3" s="49"/>
      <c r="D3" s="50"/>
      <c r="E3" s="50"/>
      <c r="F3" s="49"/>
      <c r="G3" s="49"/>
      <c r="H3" s="51"/>
      <c r="I3" s="52"/>
    </row>
    <row r="4" spans="1:29" x14ac:dyDescent="0.2">
      <c r="A4" s="49"/>
      <c r="B4" s="49"/>
      <c r="C4" s="49"/>
      <c r="D4" s="50"/>
      <c r="E4" s="50"/>
      <c r="F4" s="49"/>
      <c r="G4" s="49"/>
      <c r="H4" s="51"/>
      <c r="I4" s="52"/>
    </row>
    <row r="5" spans="1:29" x14ac:dyDescent="0.2">
      <c r="A5" s="10"/>
      <c r="B5" s="53" t="s">
        <v>172</v>
      </c>
      <c r="C5" s="74">
        <v>0</v>
      </c>
      <c r="D5" s="106"/>
      <c r="E5" s="50"/>
      <c r="F5" s="10"/>
      <c r="G5" s="10"/>
      <c r="H5" s="51"/>
      <c r="I5" s="52"/>
    </row>
    <row r="6" spans="1:29" ht="4.5" customHeight="1" thickBot="1" x14ac:dyDescent="0.25">
      <c r="A6" s="447">
        <f>1-C5</f>
        <v>1</v>
      </c>
      <c r="B6" s="49"/>
      <c r="C6" s="49"/>
      <c r="D6" s="424"/>
      <c r="E6" s="49"/>
      <c r="F6" s="49"/>
      <c r="G6" s="49"/>
      <c r="H6" s="49"/>
      <c r="I6" s="49"/>
    </row>
    <row r="7" spans="1:29" x14ac:dyDescent="0.2">
      <c r="A7" s="713" t="s">
        <v>244</v>
      </c>
      <c r="B7" s="750" t="s">
        <v>174</v>
      </c>
      <c r="C7" s="752"/>
      <c r="D7" s="425"/>
      <c r="E7" s="3"/>
      <c r="G7" s="713" t="s">
        <v>245</v>
      </c>
      <c r="H7" s="750" t="s">
        <v>174</v>
      </c>
      <c r="I7" s="751"/>
      <c r="J7" s="751"/>
      <c r="K7" s="752"/>
    </row>
    <row r="8" spans="1:29" ht="13.5" thickBot="1" x14ac:dyDescent="0.25">
      <c r="A8" s="714"/>
      <c r="B8" s="58">
        <v>214</v>
      </c>
      <c r="C8" s="419">
        <v>286</v>
      </c>
      <c r="D8" s="426"/>
      <c r="E8" s="61"/>
      <c r="G8" s="714"/>
      <c r="H8" s="58">
        <v>70</v>
      </c>
      <c r="I8" s="59">
        <v>142</v>
      </c>
      <c r="J8" s="419">
        <v>214</v>
      </c>
      <c r="K8" s="60">
        <v>286</v>
      </c>
    </row>
    <row r="9" spans="1:29" ht="15" x14ac:dyDescent="0.25">
      <c r="A9" s="415">
        <v>500</v>
      </c>
      <c r="B9" s="334">
        <f>236.21*(KONSTNA)</f>
        <v>236.21</v>
      </c>
      <c r="C9" s="420">
        <f>286.65*(KONSTNA)</f>
        <v>286.64999999999998</v>
      </c>
      <c r="D9" s="427"/>
      <c r="E9" s="62"/>
      <c r="G9" s="415">
        <v>500</v>
      </c>
      <c r="H9" s="334">
        <f>176.51*(KONSTNA)</f>
        <v>176.51</v>
      </c>
      <c r="I9" s="335">
        <f>238.55*(KONSTNA)</f>
        <v>238.55</v>
      </c>
      <c r="J9" s="420">
        <f>294.54*(KONSTNA)</f>
        <v>294.54000000000002</v>
      </c>
      <c r="K9" s="431">
        <f>354.75*(KONSTNA)</f>
        <v>354.75</v>
      </c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</row>
    <row r="10" spans="1:29" ht="15" x14ac:dyDescent="0.25">
      <c r="A10" s="416">
        <v>600</v>
      </c>
      <c r="B10" s="337">
        <f>250.14*(KONSTNA)</f>
        <v>250.14</v>
      </c>
      <c r="C10" s="421">
        <f>303.99*(KONSTNA)</f>
        <v>303.99</v>
      </c>
      <c r="D10" s="427"/>
      <c r="E10" s="62"/>
      <c r="G10" s="416">
        <v>600</v>
      </c>
      <c r="H10" s="337">
        <f>184.43*(KONSTNA)</f>
        <v>184.43</v>
      </c>
      <c r="I10" s="309">
        <f>252.48*(KONSTNA)</f>
        <v>252.48</v>
      </c>
      <c r="J10" s="421">
        <f>311.37*(KONSTNA)</f>
        <v>311.37</v>
      </c>
      <c r="K10" s="432">
        <f>375.74*(KONSTNA)</f>
        <v>375.74</v>
      </c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</row>
    <row r="11" spans="1:29" ht="15" x14ac:dyDescent="0.25">
      <c r="A11" s="416">
        <v>700</v>
      </c>
      <c r="B11" s="337">
        <f>264.31*(KONSTNA)</f>
        <v>264.31</v>
      </c>
      <c r="C11" s="421">
        <f>321.35*(KONSTNA)</f>
        <v>321.35000000000002</v>
      </c>
      <c r="D11" s="427"/>
      <c r="E11" s="62"/>
      <c r="G11" s="416">
        <v>700</v>
      </c>
      <c r="H11" s="337">
        <f>192.3*(KONSTNA)</f>
        <v>192.3</v>
      </c>
      <c r="I11" s="309">
        <f>265.39*(KONSTNA)</f>
        <v>265.39</v>
      </c>
      <c r="J11" s="421">
        <f>327.9*(KONSTNA)</f>
        <v>327.9</v>
      </c>
      <c r="K11" s="432">
        <f>397.32*(KONSTNA)</f>
        <v>397.32</v>
      </c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</row>
    <row r="12" spans="1:29" ht="15" x14ac:dyDescent="0.25">
      <c r="A12" s="416">
        <v>800</v>
      </c>
      <c r="B12" s="337">
        <f>278.25*(KONSTNA)</f>
        <v>278.25</v>
      </c>
      <c r="C12" s="421">
        <f>338.96*(KONSTNA)</f>
        <v>338.96</v>
      </c>
      <c r="D12" s="423"/>
      <c r="E12" s="62"/>
      <c r="G12" s="416">
        <v>800</v>
      </c>
      <c r="H12" s="337">
        <f>200.16*(KONSTNA)</f>
        <v>200.16</v>
      </c>
      <c r="I12" s="309">
        <f>278.51*(KONSTNA)</f>
        <v>278.51</v>
      </c>
      <c r="J12" s="421">
        <f>344.76*(KONSTNA)</f>
        <v>344.76</v>
      </c>
      <c r="K12" s="432">
        <f>418.33*(KONSTNA)</f>
        <v>418.33</v>
      </c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</row>
    <row r="13" spans="1:29" ht="15" x14ac:dyDescent="0.25">
      <c r="A13" s="416">
        <v>900</v>
      </c>
      <c r="B13" s="337">
        <f>292.18*(KONSTNA)</f>
        <v>292.18</v>
      </c>
      <c r="C13" s="421">
        <f>356.3*(KONSTNA)</f>
        <v>356.3</v>
      </c>
      <c r="D13" s="423"/>
      <c r="E13" s="62"/>
      <c r="G13" s="416">
        <v>900</v>
      </c>
      <c r="H13" s="337">
        <f>208.59*(KONSTNA)</f>
        <v>208.59</v>
      </c>
      <c r="I13" s="309">
        <f>291.91*(KONSTNA)</f>
        <v>291.91000000000003</v>
      </c>
      <c r="J13" s="421">
        <f>361.56*(KONSTNA)</f>
        <v>361.56</v>
      </c>
      <c r="K13" s="432">
        <f>439.11*(KONSTNA)</f>
        <v>439.11</v>
      </c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</row>
    <row r="14" spans="1:29" ht="15" x14ac:dyDescent="0.25">
      <c r="A14" s="416">
        <v>1000</v>
      </c>
      <c r="B14" s="337">
        <f>306.11*(KONSTNA)</f>
        <v>306.11</v>
      </c>
      <c r="C14" s="421">
        <f>373.13*(KONSTNA)</f>
        <v>373.13</v>
      </c>
      <c r="D14" s="423"/>
      <c r="E14" s="62"/>
      <c r="G14" s="416">
        <v>1000</v>
      </c>
      <c r="H14" s="337">
        <f>217.02*(KONSTNA)</f>
        <v>217.02</v>
      </c>
      <c r="I14" s="309">
        <f>304.79*(KONSTNA)</f>
        <v>304.79000000000002</v>
      </c>
      <c r="J14" s="421">
        <f>378.39*(KONSTNA)</f>
        <v>378.39</v>
      </c>
      <c r="K14" s="432">
        <f>459.89*(KONSTNA)</f>
        <v>459.89</v>
      </c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</row>
    <row r="15" spans="1:29" ht="15" x14ac:dyDescent="0.25">
      <c r="A15" s="416">
        <v>1100</v>
      </c>
      <c r="B15" s="337">
        <f>320.31*(KONSTNA)</f>
        <v>320.31</v>
      </c>
      <c r="C15" s="421">
        <f>390.74*(KONSTNA)</f>
        <v>390.74</v>
      </c>
      <c r="D15" s="423"/>
      <c r="E15" s="62"/>
      <c r="G15" s="416">
        <v>1100</v>
      </c>
      <c r="H15" s="337">
        <f>224.61*(KONSTNA)</f>
        <v>224.61</v>
      </c>
      <c r="I15" s="309">
        <f>317.94*(KONSTNA)</f>
        <v>317.94</v>
      </c>
      <c r="J15" s="421">
        <f>394.66*(KONSTNA)</f>
        <v>394.66</v>
      </c>
      <c r="K15" s="432">
        <f>480.63*(KONSTNA)</f>
        <v>480.63</v>
      </c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</row>
    <row r="16" spans="1:29" ht="15" x14ac:dyDescent="0.25">
      <c r="A16" s="416">
        <v>1200</v>
      </c>
      <c r="B16" s="337">
        <f>333.97*(KONSTNA)</f>
        <v>333.97</v>
      </c>
      <c r="C16" s="421">
        <f>408.38*(KONSTNA)</f>
        <v>408.38</v>
      </c>
      <c r="D16" s="423"/>
      <c r="E16" s="62"/>
      <c r="G16" s="416">
        <v>1200</v>
      </c>
      <c r="H16" s="337">
        <f>232.77*(KONSTNA)</f>
        <v>232.77</v>
      </c>
      <c r="I16" s="309">
        <f>331.1*(KONSTNA)</f>
        <v>331.1</v>
      </c>
      <c r="J16" s="421">
        <f>411.52*(KONSTNA)</f>
        <v>411.52</v>
      </c>
      <c r="K16" s="432">
        <f>502.46*(KONSTNA)</f>
        <v>502.46</v>
      </c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</row>
    <row r="17" spans="1:29" ht="15" x14ac:dyDescent="0.25">
      <c r="A17" s="416">
        <v>1300</v>
      </c>
      <c r="B17" s="337">
        <f>348.17*(KONSTNA)</f>
        <v>348.17</v>
      </c>
      <c r="C17" s="421">
        <f>425.45*(KONSTNA)</f>
        <v>425.45</v>
      </c>
      <c r="D17" s="423"/>
      <c r="E17" s="62"/>
      <c r="G17" s="416">
        <v>1300</v>
      </c>
      <c r="H17" s="337">
        <f>240.93*(KONSTNA)</f>
        <v>240.93</v>
      </c>
      <c r="I17" s="309">
        <f>344.76*(KONSTNA)</f>
        <v>344.76</v>
      </c>
      <c r="J17" s="421">
        <f>428.32*(KONSTNA)</f>
        <v>428.32</v>
      </c>
      <c r="K17" s="432">
        <f>522.96*(KONSTNA)</f>
        <v>522.96</v>
      </c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</row>
    <row r="18" spans="1:29" ht="15" x14ac:dyDescent="0.25">
      <c r="A18" s="416">
        <v>1400</v>
      </c>
      <c r="B18" s="337">
        <f>362.07*(KONSTNA)</f>
        <v>362.07</v>
      </c>
      <c r="C18" s="421">
        <f>442.79*(KONSTNA)</f>
        <v>442.79</v>
      </c>
      <c r="D18" s="423"/>
      <c r="E18" s="62"/>
      <c r="G18" s="416">
        <v>1400</v>
      </c>
      <c r="H18" s="337">
        <f>248.8*(KONSTNA)</f>
        <v>248.8</v>
      </c>
      <c r="I18" s="309">
        <f>358.15*(KONSTNA)</f>
        <v>358.15</v>
      </c>
      <c r="J18" s="421">
        <f>445.42*(KONSTNA)</f>
        <v>445.42</v>
      </c>
      <c r="K18" s="432">
        <f>543.98*(KONSTNA)</f>
        <v>543.98</v>
      </c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30"/>
    </row>
    <row r="19" spans="1:29" ht="15" x14ac:dyDescent="0.25">
      <c r="A19" s="416">
        <v>1600</v>
      </c>
      <c r="B19" s="337">
        <f>389.67*(KONSTNA)</f>
        <v>389.67</v>
      </c>
      <c r="C19" s="421">
        <f>477.74*(KONSTNA)</f>
        <v>477.74</v>
      </c>
      <c r="D19" s="423"/>
      <c r="E19" s="62"/>
      <c r="G19" s="416">
        <v>1600</v>
      </c>
      <c r="H19" s="337">
        <f>265.12*(KONSTNA)</f>
        <v>265.12</v>
      </c>
      <c r="I19" s="309">
        <f>384.19*(KONSTNA)</f>
        <v>384.19</v>
      </c>
      <c r="J19" s="421">
        <f>478.27*(KONSTNA)</f>
        <v>478.27</v>
      </c>
      <c r="K19" s="432">
        <f>586.02*(KONSTNA)</f>
        <v>586.02</v>
      </c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</row>
    <row r="20" spans="1:29" ht="15" x14ac:dyDescent="0.25">
      <c r="A20" s="417">
        <v>1800</v>
      </c>
      <c r="B20" s="337">
        <f>418.09*(KONSTNA)</f>
        <v>418.09</v>
      </c>
      <c r="C20" s="421">
        <f>512.71*(KONSTNA)</f>
        <v>512.71</v>
      </c>
      <c r="D20" s="423"/>
      <c r="E20" s="62"/>
      <c r="G20" s="417">
        <v>1800</v>
      </c>
      <c r="H20" s="337">
        <f>281.39*(KONSTNA)</f>
        <v>281.39</v>
      </c>
      <c r="I20" s="309">
        <f>410.44*(KONSTNA)</f>
        <v>410.44</v>
      </c>
      <c r="J20" s="421">
        <f>512.2*(KONSTNA)</f>
        <v>512.20000000000005</v>
      </c>
      <c r="K20" s="432">
        <f>627.84*(KONSTNA)</f>
        <v>627.84</v>
      </c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</row>
    <row r="21" spans="1:29" ht="15" x14ac:dyDescent="0.25">
      <c r="A21" s="417">
        <v>2000</v>
      </c>
      <c r="B21" s="337">
        <f>445.95*(KONSTNA)</f>
        <v>445.95</v>
      </c>
      <c r="C21" s="421">
        <f>547.66*(KONSTNA)</f>
        <v>547.66</v>
      </c>
      <c r="D21" s="423"/>
      <c r="E21" s="62"/>
      <c r="G21" s="417">
        <v>2000</v>
      </c>
      <c r="H21" s="337">
        <f>297.17*(KONSTNA)</f>
        <v>297.17</v>
      </c>
      <c r="I21" s="309">
        <f>436.75*(KONSTNA)</f>
        <v>436.75</v>
      </c>
      <c r="J21" s="421">
        <f>545.57*(KONSTNA)</f>
        <v>545.57000000000005</v>
      </c>
      <c r="K21" s="432">
        <f>669.63*(KONSTNA)</f>
        <v>669.63</v>
      </c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</row>
    <row r="22" spans="1:29" ht="15" x14ac:dyDescent="0.25">
      <c r="A22" s="417">
        <v>2200</v>
      </c>
      <c r="B22" s="337">
        <f>473.55*(KONSTNA)</f>
        <v>473.55</v>
      </c>
      <c r="C22" s="421">
        <f>582.1*(KONSTNA)</f>
        <v>582.1</v>
      </c>
      <c r="D22" s="423"/>
      <c r="E22" s="62"/>
      <c r="G22" s="417">
        <v>2200</v>
      </c>
      <c r="H22" s="337">
        <f>313.46*(KONSTNA)</f>
        <v>313.45999999999998</v>
      </c>
      <c r="I22" s="309">
        <f>463.03*(KONSTNA)</f>
        <v>463.03</v>
      </c>
      <c r="J22" s="421">
        <f>579.74*(KONSTNA)</f>
        <v>579.74</v>
      </c>
      <c r="K22" s="432">
        <f>711.42*(KONSTNA)</f>
        <v>711.42</v>
      </c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</row>
    <row r="23" spans="1:29" ht="15" x14ac:dyDescent="0.25">
      <c r="A23" s="417">
        <v>2400</v>
      </c>
      <c r="B23" s="337">
        <f>501.41*(KONSTNA)</f>
        <v>501.41</v>
      </c>
      <c r="C23" s="421">
        <f>617.34*(KONSTNA)</f>
        <v>617.34</v>
      </c>
      <c r="D23" s="423"/>
      <c r="E23" s="62"/>
      <c r="G23" s="417">
        <v>2400</v>
      </c>
      <c r="H23" s="337">
        <f>330.02*(KONSTNA)</f>
        <v>330.02</v>
      </c>
      <c r="I23" s="309">
        <f>489.33*(KONSTNA)</f>
        <v>489.33</v>
      </c>
      <c r="J23" s="421">
        <f>612.59*(KONSTNA)</f>
        <v>612.59</v>
      </c>
      <c r="K23" s="432">
        <f>753.46*(KONSTNA)</f>
        <v>753.46</v>
      </c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0"/>
    </row>
    <row r="24" spans="1:29" ht="15" x14ac:dyDescent="0.25">
      <c r="A24" s="417">
        <v>2600</v>
      </c>
      <c r="B24" s="337">
        <f>556.09*(KONSTNA)</f>
        <v>556.09</v>
      </c>
      <c r="C24" s="421">
        <f>684.88*(KONSTNA)</f>
        <v>684.88</v>
      </c>
      <c r="D24" s="423"/>
      <c r="E24" s="62"/>
      <c r="G24" s="417">
        <v>2600</v>
      </c>
      <c r="H24" s="337">
        <f>363.15*(KONSTNA)</f>
        <v>363.15</v>
      </c>
      <c r="I24" s="309">
        <f>542.4*(KONSTNA)</f>
        <v>542.4</v>
      </c>
      <c r="J24" s="421">
        <f>678.84*(KONSTNA)</f>
        <v>678.84</v>
      </c>
      <c r="K24" s="432">
        <f>835.49*(KONSTNA)</f>
        <v>835.49</v>
      </c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</row>
    <row r="25" spans="1:29" ht="15" x14ac:dyDescent="0.25">
      <c r="A25" s="417">
        <v>2800</v>
      </c>
      <c r="B25" s="337">
        <f>585.24*(KONSTNA)</f>
        <v>585.24</v>
      </c>
      <c r="C25" s="421">
        <f>721.14*(KONSTNA)</f>
        <v>721.14</v>
      </c>
      <c r="D25" s="423"/>
      <c r="E25" s="62"/>
      <c r="G25" s="417">
        <v>2800</v>
      </c>
      <c r="H25" s="337">
        <f>380.49*(KONSTNA)</f>
        <v>380.49</v>
      </c>
      <c r="I25" s="309">
        <f>570.02*(KONSTNA)</f>
        <v>570.02</v>
      </c>
      <c r="J25" s="421">
        <f>714.03*(KONSTNA)</f>
        <v>714.03</v>
      </c>
      <c r="K25" s="432">
        <f>879.64*(KONSTNA)</f>
        <v>879.64</v>
      </c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</row>
    <row r="26" spans="1:29" ht="15" x14ac:dyDescent="0.25">
      <c r="A26" s="417">
        <v>3000</v>
      </c>
      <c r="B26" s="337">
        <f>614.68*(KONSTNA)</f>
        <v>614.67999999999995</v>
      </c>
      <c r="C26" s="421">
        <f>757.67*(KONSTNA)</f>
        <v>757.67</v>
      </c>
      <c r="D26" s="423"/>
      <c r="E26" s="62"/>
      <c r="G26" s="417">
        <v>3000</v>
      </c>
      <c r="H26" s="337">
        <f>397.59*(KONSTNA)</f>
        <v>397.59</v>
      </c>
      <c r="I26" s="309">
        <f>597.08*(KONSTNA)</f>
        <v>597.08000000000004</v>
      </c>
      <c r="J26" s="421">
        <f>749*(KONSTNA)</f>
        <v>749</v>
      </c>
      <c r="K26" s="432">
        <f>923.29*(KONSTNA)</f>
        <v>923.29</v>
      </c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</row>
    <row r="27" spans="1:29" ht="15" x14ac:dyDescent="0.25">
      <c r="A27" s="417">
        <v>3200</v>
      </c>
      <c r="B27" s="337">
        <f>643.32*(KONSTNA)</f>
        <v>643.32000000000005</v>
      </c>
      <c r="C27" s="421">
        <f>794.98*(KONSTNA)</f>
        <v>794.98</v>
      </c>
      <c r="D27" s="423"/>
      <c r="E27" s="62"/>
      <c r="G27" s="417">
        <v>3200</v>
      </c>
      <c r="H27" s="337">
        <f>413.85*(KONSTNA)</f>
        <v>413.85</v>
      </c>
      <c r="I27" s="309">
        <f>625.21*(KONSTNA)</f>
        <v>625.21</v>
      </c>
      <c r="J27" s="421">
        <f>784.25*(KONSTNA)</f>
        <v>784.25</v>
      </c>
      <c r="K27" s="432">
        <f>967.68*(KONSTNA)</f>
        <v>967.68</v>
      </c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</row>
    <row r="28" spans="1:29" ht="15" x14ac:dyDescent="0.25">
      <c r="A28" s="417">
        <v>3400</v>
      </c>
      <c r="B28" s="337">
        <f>673.04*(KONSTNA)</f>
        <v>673.04</v>
      </c>
      <c r="C28" s="421">
        <f>831.27*(KONSTNA)</f>
        <v>831.27</v>
      </c>
      <c r="D28" s="423"/>
      <c r="E28" s="62"/>
      <c r="G28" s="417">
        <v>3400</v>
      </c>
      <c r="H28" s="337">
        <f>431.25*(KONSTNA)</f>
        <v>431.25</v>
      </c>
      <c r="I28" s="309">
        <f>652.53*(KONSTNA)</f>
        <v>652.53</v>
      </c>
      <c r="J28" s="421">
        <f>818.9*(KONSTNA)</f>
        <v>818.9</v>
      </c>
      <c r="K28" s="432">
        <f>1011.57*(KONSTNA)</f>
        <v>1011.57</v>
      </c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</row>
    <row r="29" spans="1:29" ht="15" x14ac:dyDescent="0.25">
      <c r="A29" s="417">
        <v>3600</v>
      </c>
      <c r="B29" s="337">
        <f>702.48*(KONSTNA)</f>
        <v>702.48</v>
      </c>
      <c r="C29" s="421">
        <f>868.07*(KONSTNA)</f>
        <v>868.07</v>
      </c>
      <c r="D29" s="423"/>
      <c r="E29" s="62"/>
      <c r="G29" s="417">
        <v>3600</v>
      </c>
      <c r="H29" s="337">
        <f>447.78*(KONSTNA)</f>
        <v>447.78</v>
      </c>
      <c r="I29" s="309">
        <f>680.15*(KONSTNA)</f>
        <v>680.15</v>
      </c>
      <c r="J29" s="421">
        <f>854.68*(KONSTNA)</f>
        <v>854.68</v>
      </c>
      <c r="K29" s="432">
        <f>1055.75*(KONSTNA)</f>
        <v>1055.75</v>
      </c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</row>
    <row r="30" spans="1:29" ht="15" x14ac:dyDescent="0.25">
      <c r="A30" s="417">
        <v>3800</v>
      </c>
      <c r="B30" s="337">
        <f>731.39*(KONSTNA)</f>
        <v>731.39</v>
      </c>
      <c r="C30" s="421">
        <f>903.83*(KONSTNA)</f>
        <v>903.83</v>
      </c>
      <c r="D30" s="423"/>
      <c r="E30" s="62"/>
      <c r="G30" s="417">
        <v>3800</v>
      </c>
      <c r="H30" s="337">
        <f>465.42*(KONSTNA)</f>
        <v>465.42</v>
      </c>
      <c r="I30" s="309">
        <f>708.28*(KONSTNA)</f>
        <v>708.28</v>
      </c>
      <c r="J30" s="421">
        <f>889.63*(KONSTNA)</f>
        <v>889.63</v>
      </c>
      <c r="K30" s="432">
        <f>1100.42*(KONSTNA)</f>
        <v>1100.42</v>
      </c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</row>
    <row r="31" spans="1:29" ht="15.75" thickBot="1" x14ac:dyDescent="0.3">
      <c r="A31" s="418">
        <v>4000</v>
      </c>
      <c r="B31" s="339">
        <f>760.84*(KONSTNA)</f>
        <v>760.84</v>
      </c>
      <c r="C31" s="422">
        <f>940.63*(KONSTNA)</f>
        <v>940.63</v>
      </c>
      <c r="D31" s="423"/>
      <c r="E31" s="62"/>
      <c r="G31" s="418">
        <v>4000</v>
      </c>
      <c r="H31" s="339">
        <f>482.22*(KONSTNA)</f>
        <v>482.22</v>
      </c>
      <c r="I31" s="340">
        <f>735.88*(KONSTNA)</f>
        <v>735.88</v>
      </c>
      <c r="J31" s="422">
        <f>924.84*(KONSTNA)</f>
        <v>924.84</v>
      </c>
      <c r="K31" s="433">
        <f>1143.53*(KONSTNA)</f>
        <v>1143.53</v>
      </c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</row>
    <row r="32" spans="1:29" ht="3" customHeight="1" x14ac:dyDescent="0.25">
      <c r="A32" s="412"/>
      <c r="B32" s="413"/>
      <c r="C32" s="413"/>
      <c r="D32" s="413"/>
      <c r="E32" s="62"/>
      <c r="F32" s="414"/>
      <c r="G32" s="413"/>
      <c r="H32" s="413"/>
      <c r="I32" s="413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</row>
    <row r="33" spans="1:29" ht="3.75" customHeight="1" thickBot="1" x14ac:dyDescent="0.3">
      <c r="A33" s="67">
        <f>KONSTNA</f>
        <v>1</v>
      </c>
      <c r="B33" s="68"/>
      <c r="C33" s="69"/>
      <c r="D33" s="69"/>
      <c r="E33" s="70"/>
      <c r="F33" s="71"/>
      <c r="G33" s="71"/>
      <c r="H33" s="72"/>
      <c r="I33" s="275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</row>
    <row r="34" spans="1:29" ht="15" x14ac:dyDescent="0.25">
      <c r="A34" s="713" t="s">
        <v>246</v>
      </c>
      <c r="B34" s="55"/>
      <c r="C34" s="751" t="s">
        <v>174</v>
      </c>
      <c r="D34" s="751"/>
      <c r="E34" s="57"/>
      <c r="F34" s="753"/>
      <c r="G34" s="713" t="s">
        <v>247</v>
      </c>
      <c r="H34" s="55"/>
      <c r="I34" s="751" t="s">
        <v>174</v>
      </c>
      <c r="J34" s="751"/>
      <c r="K34" s="57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</row>
    <row r="35" spans="1:29" ht="15.75" thickBot="1" x14ac:dyDescent="0.3">
      <c r="A35" s="714"/>
      <c r="B35" s="58">
        <v>70</v>
      </c>
      <c r="C35" s="59">
        <v>142</v>
      </c>
      <c r="D35" s="419">
        <v>214</v>
      </c>
      <c r="E35" s="60">
        <v>286</v>
      </c>
      <c r="F35" s="754"/>
      <c r="G35" s="714"/>
      <c r="H35" s="58">
        <v>70</v>
      </c>
      <c r="I35" s="59">
        <v>142</v>
      </c>
      <c r="J35" s="419">
        <v>214</v>
      </c>
      <c r="K35" s="60">
        <v>286</v>
      </c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</row>
    <row r="36" spans="1:29" ht="15" x14ac:dyDescent="0.25">
      <c r="A36" s="415">
        <v>500</v>
      </c>
      <c r="B36" s="334">
        <f>220.96*(KONSTNA)</f>
        <v>220.96</v>
      </c>
      <c r="C36" s="335">
        <f>302.7*(KONSTNA)</f>
        <v>302.7</v>
      </c>
      <c r="D36" s="420">
        <f>347.9*(KONSTNA)</f>
        <v>347.9</v>
      </c>
      <c r="E36" s="431">
        <f>412.05*(KONSTNA)</f>
        <v>412.05</v>
      </c>
      <c r="F36" s="429"/>
      <c r="G36" s="415">
        <v>500</v>
      </c>
      <c r="H36" s="334">
        <f>245.93*(KONSTNA)</f>
        <v>245.93</v>
      </c>
      <c r="I36" s="335">
        <f>334.51*(KONSTNA)</f>
        <v>334.51</v>
      </c>
      <c r="J36" s="420">
        <f>378.93*(KONSTNA)</f>
        <v>378.93</v>
      </c>
      <c r="K36" s="431">
        <f>446.22*(KONSTNA)</f>
        <v>446.22</v>
      </c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</row>
    <row r="37" spans="1:29" ht="15" x14ac:dyDescent="0.25">
      <c r="A37" s="416">
        <v>600</v>
      </c>
      <c r="B37" s="337">
        <f>233.28*(KONSTNA)</f>
        <v>233.28</v>
      </c>
      <c r="C37" s="309">
        <f>325.3*(KONSTNA)</f>
        <v>325.3</v>
      </c>
      <c r="D37" s="421">
        <f>372.6*(KONSTNA)</f>
        <v>372.6</v>
      </c>
      <c r="E37" s="432">
        <f>442.79*(KONSTNA)</f>
        <v>442.79</v>
      </c>
      <c r="F37" s="429"/>
      <c r="G37" s="416">
        <v>600</v>
      </c>
      <c r="H37" s="337">
        <f>259.32*(KONSTNA)</f>
        <v>259.32</v>
      </c>
      <c r="I37" s="309">
        <f>360.01*(KONSTNA)</f>
        <v>360.01</v>
      </c>
      <c r="J37" s="421">
        <f>408.11*(KONSTNA)</f>
        <v>408.11</v>
      </c>
      <c r="K37" s="432">
        <f>482.76*(KONSTNA)</f>
        <v>482.76</v>
      </c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</row>
    <row r="38" spans="1:29" ht="15" x14ac:dyDescent="0.25">
      <c r="A38" s="416">
        <v>700</v>
      </c>
      <c r="B38" s="337">
        <f>245.66*(KONSTNA)</f>
        <v>245.66</v>
      </c>
      <c r="C38" s="309">
        <f>347.9*(KONSTNA)</f>
        <v>347.9</v>
      </c>
      <c r="D38" s="421">
        <f>398.12*(KONSTNA)</f>
        <v>398.12</v>
      </c>
      <c r="E38" s="432">
        <f>474.6*(KONSTNA)</f>
        <v>474.6</v>
      </c>
      <c r="F38" s="429"/>
      <c r="G38" s="416">
        <v>700</v>
      </c>
      <c r="H38" s="337">
        <f>273.52*(KONSTNA)</f>
        <v>273.52</v>
      </c>
      <c r="I38" s="309">
        <f>385.48*(KONSTNA)</f>
        <v>385.48</v>
      </c>
      <c r="J38" s="421">
        <f>436.75*(KONSTNA)</f>
        <v>436.75</v>
      </c>
      <c r="K38" s="432">
        <f>518.99*(KONSTNA)</f>
        <v>518.99</v>
      </c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</row>
    <row r="39" spans="1:29" ht="15" x14ac:dyDescent="0.25">
      <c r="A39" s="416">
        <v>800</v>
      </c>
      <c r="B39" s="337">
        <f>258.01*(KONSTNA)</f>
        <v>258.01</v>
      </c>
      <c r="C39" s="309">
        <f>369.72*(KONSTNA)</f>
        <v>369.72</v>
      </c>
      <c r="D39" s="421">
        <f>422.31*(KONSTNA)</f>
        <v>422.31</v>
      </c>
      <c r="E39" s="432">
        <f>505.6*(KONSTNA)</f>
        <v>505.6</v>
      </c>
      <c r="F39" s="429"/>
      <c r="G39" s="416">
        <v>800</v>
      </c>
      <c r="H39" s="337">
        <f>286.92*(KONSTNA)</f>
        <v>286.92</v>
      </c>
      <c r="I39" s="309">
        <f>410.98*(KONSTNA)</f>
        <v>410.98</v>
      </c>
      <c r="J39" s="421">
        <f>465.68*(KONSTNA)</f>
        <v>465.68</v>
      </c>
      <c r="K39" s="432">
        <f>555.55*(KONSTNA)</f>
        <v>555.54999999999995</v>
      </c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</row>
    <row r="40" spans="1:29" ht="15" x14ac:dyDescent="0.25">
      <c r="A40" s="416">
        <v>900</v>
      </c>
      <c r="B40" s="337">
        <f>270.35*(KONSTNA)</f>
        <v>270.35000000000002</v>
      </c>
      <c r="C40" s="309">
        <f>392.59*(KONSTNA)</f>
        <v>392.59</v>
      </c>
      <c r="D40" s="421">
        <f>447.24*(KONSTNA)</f>
        <v>447.24</v>
      </c>
      <c r="E40" s="432">
        <f>536.63*(KONSTNA)</f>
        <v>536.63</v>
      </c>
      <c r="F40" s="429"/>
      <c r="G40" s="416">
        <v>900</v>
      </c>
      <c r="H40" s="337">
        <f>300.58*(KONSTNA)</f>
        <v>300.58</v>
      </c>
      <c r="I40" s="309">
        <f>436.51*(KONSTNA)</f>
        <v>436.51</v>
      </c>
      <c r="J40" s="421">
        <f>494.54*(KONSTNA)</f>
        <v>494.54</v>
      </c>
      <c r="K40" s="432">
        <f>592.08*(KONSTNA)</f>
        <v>592.08000000000004</v>
      </c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</row>
    <row r="41" spans="1:29" ht="15" x14ac:dyDescent="0.25">
      <c r="A41" s="416">
        <v>1000</v>
      </c>
      <c r="B41" s="337">
        <f>283.24*(KONSTNA)</f>
        <v>283.24</v>
      </c>
      <c r="C41" s="309">
        <f>414.66*(KONSTNA)</f>
        <v>414.66</v>
      </c>
      <c r="D41" s="421">
        <f>471.96*(KONSTNA)</f>
        <v>471.96</v>
      </c>
      <c r="E41" s="432">
        <f>567.9*(KONSTNA)</f>
        <v>567.9</v>
      </c>
      <c r="F41" s="429"/>
      <c r="G41" s="416">
        <v>1000</v>
      </c>
      <c r="H41" s="337">
        <f>313.46*(KONSTNA)</f>
        <v>313.45999999999998</v>
      </c>
      <c r="I41" s="309">
        <f>461.95*(KONSTNA)</f>
        <v>461.95</v>
      </c>
      <c r="J41" s="421">
        <f>523.47*(KONSTNA)</f>
        <v>523.47</v>
      </c>
      <c r="K41" s="432">
        <f>628.35*(KONSTNA)</f>
        <v>628.35</v>
      </c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</row>
    <row r="42" spans="1:29" ht="15" x14ac:dyDescent="0.25">
      <c r="A42" s="416">
        <v>1100</v>
      </c>
      <c r="B42" s="337">
        <f>295.24*(KONSTNA)</f>
        <v>295.24</v>
      </c>
      <c r="C42" s="309">
        <f>437.26*(KONSTNA)</f>
        <v>437.26</v>
      </c>
      <c r="D42" s="421">
        <f>497.46*(KONSTNA)</f>
        <v>497.46</v>
      </c>
      <c r="E42" s="432">
        <f>599.2*(KONSTNA)</f>
        <v>599.20000000000005</v>
      </c>
      <c r="F42" s="429"/>
      <c r="G42" s="416">
        <v>1100</v>
      </c>
      <c r="H42" s="337">
        <f>327.42*(KONSTNA)</f>
        <v>327.42</v>
      </c>
      <c r="I42" s="309">
        <f>487.48*(KONSTNA)</f>
        <v>487.48</v>
      </c>
      <c r="J42" s="421">
        <f>552.38*(KONSTNA)</f>
        <v>552.38</v>
      </c>
      <c r="K42" s="432">
        <f>664.64*(KONSTNA)</f>
        <v>664.64</v>
      </c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</row>
    <row r="43" spans="1:29" ht="15" x14ac:dyDescent="0.25">
      <c r="A43" s="416">
        <v>1200</v>
      </c>
      <c r="B43" s="337">
        <f>307.42*(KONSTNA)</f>
        <v>307.42</v>
      </c>
      <c r="C43" s="309">
        <f>459.62*(KONSTNA)</f>
        <v>459.62</v>
      </c>
      <c r="D43" s="421">
        <f>522.45*(KONSTNA)</f>
        <v>522.45000000000005</v>
      </c>
      <c r="E43" s="432">
        <f>630.2*(KONSTNA)</f>
        <v>630.20000000000005</v>
      </c>
      <c r="F43" s="429"/>
      <c r="G43" s="416">
        <v>1200</v>
      </c>
      <c r="H43" s="337">
        <f>341.08*(KONSTNA)</f>
        <v>341.08</v>
      </c>
      <c r="I43" s="309">
        <f>512.98*(KONSTNA)</f>
        <v>512.98</v>
      </c>
      <c r="J43" s="421">
        <f>581.29*(KONSTNA)</f>
        <v>581.29</v>
      </c>
      <c r="K43" s="432">
        <f>700.9*(KONSTNA)</f>
        <v>700.9</v>
      </c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</row>
    <row r="44" spans="1:29" ht="15" x14ac:dyDescent="0.25">
      <c r="A44" s="416">
        <v>1300</v>
      </c>
      <c r="B44" s="337">
        <f>319.66*(KONSTNA)</f>
        <v>319.66000000000003</v>
      </c>
      <c r="C44" s="309">
        <f>482.22*(KONSTNA)</f>
        <v>482.22</v>
      </c>
      <c r="D44" s="421">
        <f>547.39*(KONSTNA)</f>
        <v>547.39</v>
      </c>
      <c r="E44" s="432">
        <f>661.2*(KONSTNA)</f>
        <v>661.2</v>
      </c>
      <c r="F44" s="429"/>
      <c r="G44" s="416">
        <v>1300</v>
      </c>
      <c r="H44" s="337">
        <f>354.21*(KONSTNA)</f>
        <v>354.21</v>
      </c>
      <c r="I44" s="309">
        <f>538.45*(KONSTNA)</f>
        <v>538.45000000000005</v>
      </c>
      <c r="J44" s="421">
        <f>610.2*(KONSTNA)</f>
        <v>610.20000000000005</v>
      </c>
      <c r="K44" s="432">
        <f>738.21*(KONSTNA)</f>
        <v>738.21</v>
      </c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</row>
    <row r="45" spans="1:29" ht="15" x14ac:dyDescent="0.25">
      <c r="A45" s="416">
        <v>1400</v>
      </c>
      <c r="B45" s="337">
        <f>332.63*(KONSTNA)</f>
        <v>332.63</v>
      </c>
      <c r="C45" s="309">
        <f>504.28*(KONSTNA)</f>
        <v>504.28</v>
      </c>
      <c r="D45" s="421">
        <f>571.84*(KONSTNA)</f>
        <v>571.84</v>
      </c>
      <c r="E45" s="432">
        <f>692.5*(KONSTNA)</f>
        <v>692.5</v>
      </c>
      <c r="F45" s="429"/>
      <c r="G45" s="416">
        <v>1400</v>
      </c>
      <c r="H45" s="337">
        <f>368.41*(KONSTNA)</f>
        <v>368.41</v>
      </c>
      <c r="I45" s="309">
        <f>563.95*(KONSTNA)</f>
        <v>563.95000000000005</v>
      </c>
      <c r="J45" s="421">
        <f>638.87*(KONSTNA)</f>
        <v>638.87</v>
      </c>
      <c r="K45" s="432">
        <f>774.77*(KONSTNA)</f>
        <v>774.77</v>
      </c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</row>
    <row r="46" spans="1:29" ht="15" x14ac:dyDescent="0.25">
      <c r="A46" s="416">
        <v>1600</v>
      </c>
      <c r="B46" s="337">
        <f>357.89*(KONSTNA)</f>
        <v>357.89</v>
      </c>
      <c r="C46" s="309">
        <f>549.24*(KONSTNA)</f>
        <v>549.24</v>
      </c>
      <c r="D46" s="421">
        <f>622.07*(KONSTNA)</f>
        <v>622.07000000000005</v>
      </c>
      <c r="E46" s="432">
        <f>755.07*(KONSTNA)</f>
        <v>755.07</v>
      </c>
      <c r="F46" s="429"/>
      <c r="G46" s="416">
        <v>1600</v>
      </c>
      <c r="H46" s="337">
        <f>394.93*(KONSTNA)</f>
        <v>394.93</v>
      </c>
      <c r="I46" s="309">
        <f>614.95*(KONSTNA)</f>
        <v>614.95000000000005</v>
      </c>
      <c r="J46" s="421">
        <f>696.96*(KONSTNA)</f>
        <v>696.96</v>
      </c>
      <c r="K46" s="432">
        <f>847.06*(KONSTNA)</f>
        <v>847.06</v>
      </c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</row>
    <row r="47" spans="1:29" ht="15" x14ac:dyDescent="0.25">
      <c r="A47" s="417">
        <v>1800</v>
      </c>
      <c r="B47" s="337">
        <f>382.07*(KONSTNA)</f>
        <v>382.07</v>
      </c>
      <c r="C47" s="309">
        <f>590.31*(KONSTNA)</f>
        <v>590.30999999999995</v>
      </c>
      <c r="D47" s="421">
        <f>672.23*(KONSTNA)</f>
        <v>672.23</v>
      </c>
      <c r="E47" s="432">
        <f>817.07*(KONSTNA)</f>
        <v>817.07</v>
      </c>
      <c r="G47" s="417">
        <v>1800</v>
      </c>
      <c r="H47" s="337">
        <f>422.04*(KONSTNA)</f>
        <v>422.04</v>
      </c>
      <c r="I47" s="309">
        <f>666.19*(KONSTNA)</f>
        <v>666.19</v>
      </c>
      <c r="J47" s="421">
        <f>754.53*(KONSTNA)</f>
        <v>754.53</v>
      </c>
      <c r="K47" s="432">
        <f>920.36*(KONSTNA)</f>
        <v>920.36</v>
      </c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</row>
    <row r="48" spans="1:29" ht="15" x14ac:dyDescent="0.25">
      <c r="A48" s="417">
        <v>2000</v>
      </c>
      <c r="B48" s="337">
        <f>407.3*(KONSTNA)</f>
        <v>407.3</v>
      </c>
      <c r="C48" s="309">
        <f>638.87*(KONSTNA)</f>
        <v>638.87</v>
      </c>
      <c r="D48" s="421">
        <f>721.41*(KONSTNA)</f>
        <v>721.41</v>
      </c>
      <c r="E48" s="432">
        <f>879.64*(KONSTNA)</f>
        <v>879.64</v>
      </c>
      <c r="G48" s="417">
        <v>2000</v>
      </c>
      <c r="H48" s="337">
        <f>449.9*(KONSTNA)</f>
        <v>449.9</v>
      </c>
      <c r="I48" s="309">
        <f>717.22*(KONSTNA)</f>
        <v>717.22</v>
      </c>
      <c r="J48" s="421">
        <f>812.08*(KONSTNA)</f>
        <v>812.08</v>
      </c>
      <c r="K48" s="432">
        <f>993.18*(KONSTNA)</f>
        <v>993.18</v>
      </c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</row>
    <row r="49" spans="1:29" ht="15" x14ac:dyDescent="0.25">
      <c r="A49" s="417">
        <v>2200</v>
      </c>
      <c r="B49" s="337">
        <f>431.76*(KONSTNA)</f>
        <v>431.76</v>
      </c>
      <c r="C49" s="309">
        <f>683.83*(KONSTNA)</f>
        <v>683.83</v>
      </c>
      <c r="D49" s="421">
        <f>771.87*(KONSTNA)</f>
        <v>771.87</v>
      </c>
      <c r="E49" s="432">
        <f>941.94*(KONSTNA)</f>
        <v>941.94</v>
      </c>
      <c r="G49" s="417">
        <v>2200</v>
      </c>
      <c r="H49" s="337">
        <f>476.42*(KONSTNA)</f>
        <v>476.42</v>
      </c>
      <c r="I49" s="309">
        <f>767.93*(KONSTNA)</f>
        <v>767.93</v>
      </c>
      <c r="J49" s="421">
        <f>869.66*(KONSTNA)</f>
        <v>869.66</v>
      </c>
      <c r="K49" s="432">
        <f>1065.74*(KONSTNA)</f>
        <v>1065.74</v>
      </c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</row>
    <row r="50" spans="1:29" ht="15" x14ac:dyDescent="0.25">
      <c r="A50" s="417">
        <v>2400</v>
      </c>
      <c r="B50" s="337">
        <f>456.69*(KONSTNA)</f>
        <v>456.69</v>
      </c>
      <c r="C50" s="309">
        <f>728.49*(KONSTNA)</f>
        <v>728.49</v>
      </c>
      <c r="D50" s="421">
        <f>821.82*(KONSTNA)</f>
        <v>821.82</v>
      </c>
      <c r="E50" s="432">
        <f>1004.24*(KONSTNA)</f>
        <v>1004.24</v>
      </c>
      <c r="G50" s="417">
        <v>2400</v>
      </c>
      <c r="H50" s="337">
        <f>503.8*(KONSTNA)</f>
        <v>503.8</v>
      </c>
      <c r="I50" s="309">
        <f>818.63*(KONSTNA)</f>
        <v>818.63</v>
      </c>
      <c r="J50" s="421">
        <f>927.74*(KONSTNA)</f>
        <v>927.74</v>
      </c>
      <c r="K50" s="432">
        <f>1139.04*(KONSTNA)</f>
        <v>1139.04</v>
      </c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</row>
    <row r="51" spans="1:29" ht="15" x14ac:dyDescent="0.25">
      <c r="A51" s="417">
        <v>2600</v>
      </c>
      <c r="B51" s="337">
        <f>506.13*(KONSTNA)</f>
        <v>506.13</v>
      </c>
      <c r="C51" s="309">
        <f>812.62*(KONSTNA)</f>
        <v>812.62</v>
      </c>
      <c r="D51" s="421">
        <f>914.86*(KONSTNA)</f>
        <v>914.86</v>
      </c>
      <c r="E51" s="432">
        <f>1120.39*(KONSTNA)</f>
        <v>1120.3900000000001</v>
      </c>
      <c r="G51" s="417">
        <v>2600</v>
      </c>
      <c r="H51" s="337">
        <f>557.64*(KONSTNA)</f>
        <v>557.64</v>
      </c>
      <c r="I51" s="309">
        <f>914.05*(KONSTNA)</f>
        <v>914.05</v>
      </c>
      <c r="J51" s="421">
        <f>1035.25*(KONSTNA)</f>
        <v>1035.25</v>
      </c>
      <c r="K51" s="432">
        <f>1272.85*(KONSTNA)</f>
        <v>1272.8499999999999</v>
      </c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</row>
    <row r="52" spans="1:29" ht="15" x14ac:dyDescent="0.25">
      <c r="A52" s="417">
        <v>2800</v>
      </c>
      <c r="B52" s="337">
        <f>532.17*(KONSTNA)</f>
        <v>532.16999999999996</v>
      </c>
      <c r="C52" s="309">
        <f>859.94*(KONSTNA)</f>
        <v>859.94</v>
      </c>
      <c r="D52" s="421">
        <f>967.42*(KONSTNA)</f>
        <v>967.42</v>
      </c>
      <c r="E52" s="432">
        <f>1185.56*(KONSTNA)</f>
        <v>1185.56</v>
      </c>
      <c r="G52" s="417">
        <v>2800</v>
      </c>
      <c r="H52" s="337">
        <f>586.29*(KONSTNA)</f>
        <v>586.29</v>
      </c>
      <c r="I52" s="309">
        <f>967.42*(KONSTNA)</f>
        <v>967.42</v>
      </c>
      <c r="J52" s="421">
        <f>1095.69*(KONSTNA)</f>
        <v>1095.69</v>
      </c>
      <c r="K52" s="432">
        <f>1349.33*(KONSTNA)</f>
        <v>1349.33</v>
      </c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</row>
    <row r="53" spans="1:29" ht="15" x14ac:dyDescent="0.25">
      <c r="A53" s="417">
        <v>3000</v>
      </c>
      <c r="B53" s="337">
        <f>557.91*(KONSTNA)</f>
        <v>557.91</v>
      </c>
      <c r="C53" s="309">
        <f>906.97*(KONSTNA)</f>
        <v>906.97</v>
      </c>
      <c r="D53" s="421">
        <f>1019.46*(KONSTNA)</f>
        <v>1019.46</v>
      </c>
      <c r="E53" s="432">
        <f>1250.79*(KONSTNA)</f>
        <v>1250.79</v>
      </c>
      <c r="G53" s="417">
        <v>3000</v>
      </c>
      <c r="H53" s="337">
        <f>614.68*(KONSTNA)</f>
        <v>614.67999999999995</v>
      </c>
      <c r="I53" s="309">
        <f>1020.51*(KONSTNA)</f>
        <v>1020.51</v>
      </c>
      <c r="J53" s="421">
        <f>1155.63*(KONSTNA)</f>
        <v>1155.6300000000001</v>
      </c>
      <c r="K53" s="432">
        <f>1425.83*(KONSTNA)</f>
        <v>1425.83</v>
      </c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</row>
    <row r="54" spans="1:29" ht="15" x14ac:dyDescent="0.25">
      <c r="A54" s="417">
        <v>3200</v>
      </c>
      <c r="B54" s="337">
        <f>583.95*(KONSTNA)</f>
        <v>583.95000000000005</v>
      </c>
      <c r="C54" s="309">
        <f>953.49*(KONSTNA)</f>
        <v>953.49</v>
      </c>
      <c r="D54" s="421">
        <f>1072.29*(KONSTNA)</f>
        <v>1072.29</v>
      </c>
      <c r="E54" s="432">
        <f>1316.23*(KONSTNA)</f>
        <v>1316.23</v>
      </c>
      <c r="G54" s="417">
        <v>3200</v>
      </c>
      <c r="H54" s="337">
        <f>643.06*(KONSTNA)</f>
        <v>643.05999999999995</v>
      </c>
      <c r="I54" s="309">
        <f>1074.41*(KONSTNA)</f>
        <v>1074.4100000000001</v>
      </c>
      <c r="J54" s="421">
        <f>1216.59*(KONSTNA)</f>
        <v>1216.5899999999999</v>
      </c>
      <c r="K54" s="432">
        <f>1502.06*(KONSTNA)</f>
        <v>1502.06</v>
      </c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0"/>
      <c r="AC54" s="430"/>
    </row>
    <row r="55" spans="1:29" ht="15" x14ac:dyDescent="0.25">
      <c r="A55" s="417">
        <v>3400</v>
      </c>
      <c r="B55" s="337">
        <f>610.2*(KONSTNA)</f>
        <v>610.20000000000005</v>
      </c>
      <c r="C55" s="309">
        <f>1000.54*(KONSTNA)</f>
        <v>1000.54</v>
      </c>
      <c r="D55" s="421">
        <f>1124.34*(KONSTNA)</f>
        <v>1124.3399999999999</v>
      </c>
      <c r="E55" s="432">
        <f>1381.91*(KONSTNA)</f>
        <v>1381.91</v>
      </c>
      <c r="G55" s="417">
        <v>3400</v>
      </c>
      <c r="H55" s="337">
        <f>671.46*(KONSTNA)</f>
        <v>671.46</v>
      </c>
      <c r="I55" s="309">
        <f>1128.04*(KONSTNA)</f>
        <v>1128.04</v>
      </c>
      <c r="J55" s="421">
        <f>1277.31*(KONSTNA)</f>
        <v>1277.31</v>
      </c>
      <c r="K55" s="432">
        <f>1579.07*(KONSTNA)</f>
        <v>1579.07</v>
      </c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</row>
    <row r="56" spans="1:29" ht="15" x14ac:dyDescent="0.25">
      <c r="A56" s="417">
        <v>3600</v>
      </c>
      <c r="B56" s="337">
        <f>636*(KONSTNA)</f>
        <v>636</v>
      </c>
      <c r="C56" s="309">
        <f>1048.37*(KONSTNA)</f>
        <v>1048.3699999999999</v>
      </c>
      <c r="D56" s="421">
        <f>1176.62*(KONSTNA)</f>
        <v>1176.6199999999999</v>
      </c>
      <c r="E56" s="432">
        <f>1447.68*(KONSTNA)</f>
        <v>1447.68</v>
      </c>
      <c r="G56" s="417">
        <v>3600</v>
      </c>
      <c r="H56" s="337">
        <f>699.83*(KONSTNA)</f>
        <v>699.83</v>
      </c>
      <c r="I56" s="309">
        <f>1181.37*(KONSTNA)</f>
        <v>1181.3699999999999</v>
      </c>
      <c r="J56" s="421">
        <f>1337.78*(KONSTNA)</f>
        <v>1337.78</v>
      </c>
      <c r="K56" s="432">
        <f>1655.57*(KONSTNA)</f>
        <v>1655.57</v>
      </c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</row>
    <row r="57" spans="1:29" ht="15" x14ac:dyDescent="0.25">
      <c r="A57" s="417">
        <v>3800</v>
      </c>
      <c r="B57" s="337">
        <f>662.25*(KONSTNA)</f>
        <v>662.25</v>
      </c>
      <c r="C57" s="309">
        <f>1095.16*(KONSTNA)</f>
        <v>1095.1600000000001</v>
      </c>
      <c r="D57" s="421">
        <f>1229.21*(KONSTNA)</f>
        <v>1229.21</v>
      </c>
      <c r="E57" s="432">
        <f>1512.85*(KONSTNA)</f>
        <v>1512.85</v>
      </c>
      <c r="G57" s="417">
        <v>3800</v>
      </c>
      <c r="H57" s="337">
        <f>728.49*(KONSTNA)</f>
        <v>728.49</v>
      </c>
      <c r="I57" s="309">
        <f>1235.27*(KONSTNA)</f>
        <v>1235.27</v>
      </c>
      <c r="J57" s="421">
        <f>1398.5*(KONSTNA)</f>
        <v>1398.5</v>
      </c>
      <c r="K57" s="432">
        <f>1732.58*(KONSTNA)</f>
        <v>1732.58</v>
      </c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</row>
    <row r="58" spans="1:29" ht="15.75" thickBot="1" x14ac:dyDescent="0.3">
      <c r="A58" s="418">
        <v>4000</v>
      </c>
      <c r="B58" s="339">
        <f>688.29*(KONSTNA)</f>
        <v>688.29</v>
      </c>
      <c r="C58" s="340">
        <f>1142.24*(KONSTNA)</f>
        <v>1142.24</v>
      </c>
      <c r="D58" s="422">
        <f>1281.52*(KONSTNA)</f>
        <v>1281.52</v>
      </c>
      <c r="E58" s="433">
        <f>1578.02*(KONSTNA)</f>
        <v>1578.02</v>
      </c>
      <c r="G58" s="418">
        <v>4000</v>
      </c>
      <c r="H58" s="339">
        <f>757.14*(KONSTNA)</f>
        <v>757.14</v>
      </c>
      <c r="I58" s="340">
        <f>1288.37*(KONSTNA)</f>
        <v>1288.3699999999999</v>
      </c>
      <c r="J58" s="422">
        <f>1459.22*(KONSTNA)</f>
        <v>1459.22</v>
      </c>
      <c r="K58" s="433">
        <f>1808.81*(KONSTNA)</f>
        <v>1808.81</v>
      </c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</row>
    <row r="59" spans="1:29" ht="4.5" customHeight="1" thickBot="1" x14ac:dyDescent="0.3"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</row>
    <row r="60" spans="1:29" ht="15" x14ac:dyDescent="0.25">
      <c r="A60" s="713" t="s">
        <v>248</v>
      </c>
      <c r="B60" s="55"/>
      <c r="C60" s="751" t="s">
        <v>174</v>
      </c>
      <c r="D60" s="751"/>
      <c r="E60" s="57"/>
      <c r="F60" s="753"/>
      <c r="G60" s="713" t="s">
        <v>250</v>
      </c>
      <c r="H60" s="55"/>
      <c r="I60" s="751" t="s">
        <v>174</v>
      </c>
      <c r="J60" s="751"/>
      <c r="K60" s="57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</row>
    <row r="61" spans="1:29" ht="15.75" thickBot="1" x14ac:dyDescent="0.3">
      <c r="A61" s="714"/>
      <c r="B61" s="58">
        <v>70</v>
      </c>
      <c r="C61" s="59">
        <v>142</v>
      </c>
      <c r="D61" s="419">
        <v>214</v>
      </c>
      <c r="E61" s="60">
        <v>286</v>
      </c>
      <c r="F61" s="754"/>
      <c r="G61" s="714"/>
      <c r="H61" s="58">
        <v>70</v>
      </c>
      <c r="I61" s="59">
        <v>142</v>
      </c>
      <c r="J61" s="419">
        <v>214</v>
      </c>
      <c r="K61" s="60">
        <v>286</v>
      </c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</row>
    <row r="62" spans="1:29" ht="15" x14ac:dyDescent="0.25">
      <c r="A62" s="415">
        <v>500</v>
      </c>
      <c r="B62" s="334">
        <f>289.55*(KONSTNA)</f>
        <v>289.55</v>
      </c>
      <c r="C62" s="335">
        <f>378.39*(KONSTNA)</f>
        <v>378.39</v>
      </c>
      <c r="D62" s="420">
        <f>430.71*(KONSTNA)</f>
        <v>430.71</v>
      </c>
      <c r="E62" s="431">
        <f>500.61*(KONSTNA)</f>
        <v>500.61</v>
      </c>
      <c r="F62" s="429"/>
      <c r="G62" s="415">
        <v>500</v>
      </c>
      <c r="H62" s="334">
        <f>315.82*(KONSTNA)</f>
        <v>315.82</v>
      </c>
      <c r="I62" s="335">
        <f>433.58*(KONSTNA)</f>
        <v>433.58</v>
      </c>
      <c r="J62" s="420">
        <f>501.92*(KONSTNA)</f>
        <v>501.92</v>
      </c>
      <c r="K62" s="431">
        <f>600.22*(KONSTNA)</f>
        <v>600.22</v>
      </c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</row>
    <row r="63" spans="1:29" ht="15" x14ac:dyDescent="0.25">
      <c r="A63" s="416">
        <v>600</v>
      </c>
      <c r="B63" s="337">
        <f>306.64*(KONSTNA)</f>
        <v>306.64</v>
      </c>
      <c r="C63" s="309">
        <f>408.11*(KONSTNA)</f>
        <v>408.11</v>
      </c>
      <c r="D63" s="421">
        <f>464.61*(KONSTNA)</f>
        <v>464.61</v>
      </c>
      <c r="E63" s="432">
        <f>543.45*(KONSTNA)</f>
        <v>543.45000000000005</v>
      </c>
      <c r="F63" s="429"/>
      <c r="G63" s="416">
        <v>600</v>
      </c>
      <c r="H63" s="337">
        <f>335.82*(KONSTNA)</f>
        <v>335.82</v>
      </c>
      <c r="I63" s="309">
        <f>469.6*(KONSTNA)</f>
        <v>469.6</v>
      </c>
      <c r="J63" s="421">
        <f>544.25*(KONSTNA)</f>
        <v>544.25</v>
      </c>
      <c r="K63" s="432">
        <f>652.53*(KONSTNA)</f>
        <v>652.53</v>
      </c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</row>
    <row r="64" spans="1:29" ht="15" x14ac:dyDescent="0.25">
      <c r="A64" s="416">
        <v>700</v>
      </c>
      <c r="B64" s="337">
        <f>323.72*(KONSTNA)</f>
        <v>323.72000000000003</v>
      </c>
      <c r="C64" s="309">
        <f>437.26*(KONSTNA)</f>
        <v>437.26</v>
      </c>
      <c r="D64" s="421">
        <f>498.27*(KONSTNA)</f>
        <v>498.27</v>
      </c>
      <c r="E64" s="432">
        <f>585.24*(KONSTNA)</f>
        <v>585.24</v>
      </c>
      <c r="F64" s="429"/>
      <c r="G64" s="416">
        <v>700</v>
      </c>
      <c r="H64" s="337">
        <f>356.57*(KONSTNA)</f>
        <v>356.57</v>
      </c>
      <c r="I64" s="309">
        <f>505.6*(KONSTNA)</f>
        <v>505.6</v>
      </c>
      <c r="J64" s="421">
        <f>586.29*(KONSTNA)</f>
        <v>586.29</v>
      </c>
      <c r="K64" s="432">
        <f>705.63*(KONSTNA)</f>
        <v>705.63</v>
      </c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C64" s="430"/>
    </row>
    <row r="65" spans="1:29" ht="15" x14ac:dyDescent="0.25">
      <c r="A65" s="416">
        <v>800</v>
      </c>
      <c r="B65" s="337">
        <f>340.81*(KONSTNA)</f>
        <v>340.81</v>
      </c>
      <c r="C65" s="309">
        <f>464.5*(KONSTNA)</f>
        <v>464.5</v>
      </c>
      <c r="D65" s="421">
        <f>532.17*(KONSTNA)</f>
        <v>532.16999999999996</v>
      </c>
      <c r="E65" s="432">
        <f>627.84*(KONSTNA)</f>
        <v>627.84</v>
      </c>
      <c r="F65" s="429"/>
      <c r="G65" s="416">
        <v>800</v>
      </c>
      <c r="H65" s="337">
        <f>377.35*(KONSTNA)</f>
        <v>377.35</v>
      </c>
      <c r="I65" s="309">
        <f>541.11*(KONSTNA)</f>
        <v>541.11</v>
      </c>
      <c r="J65" s="421">
        <f>628.35*(KONSTNA)</f>
        <v>628.35</v>
      </c>
      <c r="K65" s="432">
        <f>758.21*(KONSTNA)</f>
        <v>758.21</v>
      </c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</row>
    <row r="66" spans="1:29" ht="15" x14ac:dyDescent="0.25">
      <c r="A66" s="416">
        <v>900</v>
      </c>
      <c r="B66" s="337">
        <f>357.89*(KONSTNA)</f>
        <v>357.89</v>
      </c>
      <c r="C66" s="309">
        <f>496.15*(KONSTNA)</f>
        <v>496.15</v>
      </c>
      <c r="D66" s="421">
        <f>565.56*(KONSTNA)</f>
        <v>565.55999999999995</v>
      </c>
      <c r="E66" s="432">
        <f>669.63*(KONSTNA)</f>
        <v>669.63</v>
      </c>
      <c r="F66" s="429"/>
      <c r="G66" s="416">
        <v>900</v>
      </c>
      <c r="H66" s="337">
        <f>397.59*(KONSTNA)</f>
        <v>397.59</v>
      </c>
      <c r="I66" s="309">
        <f>576.84*(KONSTNA)</f>
        <v>576.84</v>
      </c>
      <c r="J66" s="421">
        <f>670.92*(KONSTNA)</f>
        <v>670.92</v>
      </c>
      <c r="K66" s="432">
        <f>811.3*(KONSTNA)</f>
        <v>811.3</v>
      </c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</row>
    <row r="67" spans="1:29" ht="15" x14ac:dyDescent="0.25">
      <c r="A67" s="416">
        <v>1000</v>
      </c>
      <c r="B67" s="337">
        <f>374.21*(KONSTNA)</f>
        <v>374.21</v>
      </c>
      <c r="C67" s="309">
        <f>525.06*(KONSTNA)</f>
        <v>525.05999999999995</v>
      </c>
      <c r="D67" s="421">
        <f>599.68*(KONSTNA)</f>
        <v>599.67999999999995</v>
      </c>
      <c r="E67" s="432">
        <f>711.69*(KONSTNA)</f>
        <v>711.69</v>
      </c>
      <c r="F67" s="429"/>
      <c r="G67" s="416">
        <v>1000</v>
      </c>
      <c r="H67" s="337">
        <f>418.09*(KONSTNA)</f>
        <v>418.09</v>
      </c>
      <c r="I67" s="309">
        <f>612.86*(KONSTNA)</f>
        <v>612.86</v>
      </c>
      <c r="J67" s="421">
        <f>713.01*(KONSTNA)</f>
        <v>713.01</v>
      </c>
      <c r="K67" s="432">
        <f>863.86*(KONSTNA)</f>
        <v>863.86</v>
      </c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</row>
    <row r="68" spans="1:29" ht="15" x14ac:dyDescent="0.25">
      <c r="A68" s="416">
        <v>1100</v>
      </c>
      <c r="B68" s="337">
        <f>391.28*(KONSTNA)</f>
        <v>391.28</v>
      </c>
      <c r="C68" s="309">
        <f>551.39*(KONSTNA)</f>
        <v>551.39</v>
      </c>
      <c r="D68" s="421">
        <f>628.99*(KONSTNA)</f>
        <v>628.99</v>
      </c>
      <c r="E68" s="432">
        <f>754.53*(KONSTNA)</f>
        <v>754.53</v>
      </c>
      <c r="F68" s="429"/>
      <c r="G68" s="416">
        <v>1100</v>
      </c>
      <c r="H68" s="337">
        <f>436.35*(KONSTNA)</f>
        <v>436.35</v>
      </c>
      <c r="I68" s="309">
        <f>648.85*(KONSTNA)</f>
        <v>648.85</v>
      </c>
      <c r="J68" s="421">
        <f>755.85*(KONSTNA)</f>
        <v>755.85</v>
      </c>
      <c r="K68" s="432">
        <f>916.71*(KONSTNA)</f>
        <v>916.71</v>
      </c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</row>
    <row r="69" spans="1:29" ht="15" x14ac:dyDescent="0.25">
      <c r="A69" s="416">
        <v>1200</v>
      </c>
      <c r="B69" s="337">
        <f>408.38*(KONSTNA)</f>
        <v>408.38</v>
      </c>
      <c r="C69" s="309">
        <f>583.95*(KONSTNA)</f>
        <v>583.95000000000005</v>
      </c>
      <c r="D69" s="421">
        <f>667.51*(KONSTNA)</f>
        <v>667.51</v>
      </c>
      <c r="E69" s="432">
        <f>796.57*(KONSTNA)</f>
        <v>796.57</v>
      </c>
      <c r="F69" s="429"/>
      <c r="G69" s="416">
        <v>1200</v>
      </c>
      <c r="H69" s="337">
        <f>456.56*(KONSTNA)</f>
        <v>456.56</v>
      </c>
      <c r="I69" s="309">
        <f>684.88*(KONSTNA)</f>
        <v>684.88</v>
      </c>
      <c r="J69" s="421">
        <f>797.64*(KONSTNA)</f>
        <v>797.64</v>
      </c>
      <c r="K69" s="432">
        <f>969.81*(KONSTNA)</f>
        <v>969.81</v>
      </c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</row>
    <row r="70" spans="1:29" ht="15" x14ac:dyDescent="0.25">
      <c r="A70" s="416">
        <v>1300</v>
      </c>
      <c r="B70" s="337">
        <f>423.51*(KONSTNA)</f>
        <v>423.51</v>
      </c>
      <c r="C70" s="309">
        <f>609.42*(KONSTNA)</f>
        <v>609.41999999999996</v>
      </c>
      <c r="D70" s="421">
        <f>700.63*(KONSTNA)</f>
        <v>700.63</v>
      </c>
      <c r="E70" s="432">
        <f>838.63*(KONSTNA)</f>
        <v>838.63</v>
      </c>
      <c r="F70" s="429"/>
      <c r="G70" s="416">
        <v>1300</v>
      </c>
      <c r="H70" s="337">
        <f>478.54*(KONSTNA)</f>
        <v>478.54</v>
      </c>
      <c r="I70" s="309">
        <f>720.6*(KONSTNA)</f>
        <v>720.6</v>
      </c>
      <c r="J70" s="421">
        <f>839.94*(KONSTNA)</f>
        <v>839.94</v>
      </c>
      <c r="K70" s="432">
        <f>1023.17*(KONSTNA)</f>
        <v>1023.17</v>
      </c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</row>
    <row r="71" spans="1:29" ht="15" x14ac:dyDescent="0.25">
      <c r="A71" s="416">
        <v>1400</v>
      </c>
      <c r="B71" s="337">
        <f>440.16*(KONSTNA)</f>
        <v>440.16</v>
      </c>
      <c r="C71" s="309">
        <f>642.79*(KONSTNA)</f>
        <v>642.79</v>
      </c>
      <c r="D71" s="421">
        <f>734.53*(KONSTNA)</f>
        <v>734.53</v>
      </c>
      <c r="E71" s="432">
        <f>881.2*(KONSTNA)</f>
        <v>881.2</v>
      </c>
      <c r="F71" s="429"/>
      <c r="G71" s="416">
        <v>1400</v>
      </c>
      <c r="H71" s="337">
        <f>499.05*(KONSTNA)</f>
        <v>499.05</v>
      </c>
      <c r="I71" s="309">
        <f>756.6*(KONSTNA)</f>
        <v>756.6</v>
      </c>
      <c r="J71" s="421">
        <f>881.74*(KONSTNA)</f>
        <v>881.74</v>
      </c>
      <c r="K71" s="432">
        <f>1075.97*(KONSTNA)</f>
        <v>1075.97</v>
      </c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</row>
    <row r="72" spans="1:29" ht="15" x14ac:dyDescent="0.25">
      <c r="A72" s="416">
        <v>1600</v>
      </c>
      <c r="B72" s="337">
        <f>476.15*(KONSTNA)</f>
        <v>476.15</v>
      </c>
      <c r="C72" s="309">
        <f>701.44*(KONSTNA)</f>
        <v>701.44</v>
      </c>
      <c r="D72" s="421">
        <f>802.63*(KONSTNA)</f>
        <v>802.63</v>
      </c>
      <c r="E72" s="432">
        <f>965.86*(KONSTNA)</f>
        <v>965.86</v>
      </c>
      <c r="F72" s="429"/>
      <c r="G72" s="416">
        <v>1600</v>
      </c>
      <c r="H72" s="337">
        <f>537.06*(KONSTNA)</f>
        <v>537.05999999999995</v>
      </c>
      <c r="I72" s="309">
        <f>828.11*(KONSTNA)</f>
        <v>828.11</v>
      </c>
      <c r="J72" s="421">
        <f>966.61*(KONSTNA)</f>
        <v>966.61</v>
      </c>
      <c r="K72" s="432">
        <f>1181.11*(KONSTNA)</f>
        <v>1181.1099999999999</v>
      </c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</row>
    <row r="73" spans="1:29" ht="15" x14ac:dyDescent="0.25">
      <c r="A73" s="417">
        <v>1800</v>
      </c>
      <c r="B73" s="337">
        <f>507.07*(KONSTNA)</f>
        <v>507.07</v>
      </c>
      <c r="C73" s="309">
        <f>760.3*(KONSTNA)</f>
        <v>760.3</v>
      </c>
      <c r="D73" s="421">
        <f>869.66*(KONSTNA)</f>
        <v>869.66</v>
      </c>
      <c r="E73" s="432">
        <f>1049.96*(KONSTNA)</f>
        <v>1049.96</v>
      </c>
      <c r="G73" s="417">
        <v>1800</v>
      </c>
      <c r="H73" s="337">
        <f>581.02*(KONSTNA)</f>
        <v>581.02</v>
      </c>
      <c r="I73" s="309">
        <f>892.45*(KONSTNA)</f>
        <v>892.45</v>
      </c>
      <c r="J73" s="421">
        <f>1051.03*(KONSTNA)</f>
        <v>1051.03</v>
      </c>
      <c r="K73" s="432">
        <f>1286.78*(KONSTNA)</f>
        <v>1286.78</v>
      </c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</row>
    <row r="74" spans="1:29" ht="15" x14ac:dyDescent="0.25">
      <c r="A74" s="417">
        <v>2000</v>
      </c>
      <c r="B74" s="337">
        <f>540.55*(KONSTNA)</f>
        <v>540.54999999999995</v>
      </c>
      <c r="C74" s="309">
        <f>818.63*(KONSTNA)</f>
        <v>818.63</v>
      </c>
      <c r="D74" s="421">
        <f>937.7*(KONSTNA)</f>
        <v>937.7</v>
      </c>
      <c r="E74" s="432">
        <f>1134.59*(KONSTNA)</f>
        <v>1134.5899999999999</v>
      </c>
      <c r="G74" s="417">
        <v>2000</v>
      </c>
      <c r="H74" s="337">
        <f>617.56*(KONSTNA)</f>
        <v>617.55999999999995</v>
      </c>
      <c r="I74" s="309">
        <f>971.87*(KONSTNA)</f>
        <v>971.87</v>
      </c>
      <c r="J74" s="421">
        <f>1135.39*(KONSTNA)</f>
        <v>1135.3900000000001</v>
      </c>
      <c r="K74" s="432">
        <f>1392.43*(KONSTNA)</f>
        <v>1392.43</v>
      </c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430"/>
      <c r="AC74" s="430"/>
    </row>
    <row r="75" spans="1:29" ht="15" x14ac:dyDescent="0.25">
      <c r="A75" s="417">
        <v>2200</v>
      </c>
      <c r="B75" s="337">
        <f>577.11*(KONSTNA)</f>
        <v>577.11</v>
      </c>
      <c r="C75" s="309">
        <f>877.79*(KONSTNA)</f>
        <v>877.79</v>
      </c>
      <c r="D75" s="421">
        <f>1004.73*(KONSTNA)</f>
        <v>1004.73</v>
      </c>
      <c r="E75" s="432">
        <f>1219.22*(KONSTNA)</f>
        <v>1219.22</v>
      </c>
      <c r="G75" s="417">
        <v>2200</v>
      </c>
      <c r="H75" s="337">
        <f>662.25*(KONSTNA)</f>
        <v>662.25</v>
      </c>
      <c r="I75" s="309">
        <f>1043.92*(KONSTNA)</f>
        <v>1043.92</v>
      </c>
      <c r="J75" s="421">
        <f>1220*(KONSTNA)</f>
        <v>1220</v>
      </c>
      <c r="K75" s="432">
        <f>1498.11*(KONSTNA)</f>
        <v>1498.11</v>
      </c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</row>
    <row r="76" spans="1:29" ht="15" x14ac:dyDescent="0.25">
      <c r="A76" s="417">
        <v>2400</v>
      </c>
      <c r="B76" s="337">
        <f>611.81*(KONSTNA)</f>
        <v>611.80999999999995</v>
      </c>
      <c r="C76" s="309">
        <f>936.15*(KONSTNA)</f>
        <v>936.15</v>
      </c>
      <c r="D76" s="421">
        <f>1072.56*(KONSTNA)</f>
        <v>1072.56</v>
      </c>
      <c r="E76" s="432">
        <f>1303.61*(KONSTNA)</f>
        <v>1303.6099999999999</v>
      </c>
      <c r="G76" s="417">
        <v>2400</v>
      </c>
      <c r="H76" s="337">
        <f>698.14*(KONSTNA)</f>
        <v>698.14</v>
      </c>
      <c r="I76" s="309">
        <f>1115.4*(KONSTNA)</f>
        <v>1115.4000000000001</v>
      </c>
      <c r="J76" s="421">
        <f>1304.69*(KONSTNA)</f>
        <v>1304.69</v>
      </c>
      <c r="K76" s="432">
        <f>1603.79*(KONSTNA)</f>
        <v>1603.79</v>
      </c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</row>
    <row r="77" spans="1:29" ht="15" x14ac:dyDescent="0.25">
      <c r="A77" s="417">
        <v>2600</v>
      </c>
      <c r="B77" s="337">
        <f>672.93*(KONSTNA)</f>
        <v>672.93</v>
      </c>
      <c r="C77" s="309">
        <f>1035.46*(KONSTNA)</f>
        <v>1035.46</v>
      </c>
      <c r="D77" s="421">
        <f>1196.89*(KONSTNA)</f>
        <v>1196.8900000000001</v>
      </c>
      <c r="E77" s="432">
        <f>1457.88*(KONSTNA)</f>
        <v>1457.88</v>
      </c>
      <c r="G77" s="417">
        <v>2600</v>
      </c>
      <c r="H77" s="337">
        <f>781.59*(KONSTNA)</f>
        <v>781.59</v>
      </c>
      <c r="I77" s="309">
        <f>1246.84*(KONSTNA)</f>
        <v>1246.8399999999999</v>
      </c>
      <c r="J77" s="421">
        <f>1458.68*(KONSTNA)</f>
        <v>1458.68</v>
      </c>
      <c r="K77" s="432">
        <f>1794.88*(KONSTNA)</f>
        <v>1794.88</v>
      </c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0"/>
      <c r="Z77" s="430"/>
      <c r="AA77" s="430"/>
      <c r="AB77" s="430"/>
      <c r="AC77" s="430"/>
    </row>
    <row r="78" spans="1:29" ht="15" x14ac:dyDescent="0.25">
      <c r="A78" s="417">
        <v>2800</v>
      </c>
      <c r="B78" s="337">
        <f>713.28*(KONSTNA)</f>
        <v>713.28</v>
      </c>
      <c r="C78" s="309">
        <f>1106.73*(KONSTNA)</f>
        <v>1106.73</v>
      </c>
      <c r="D78" s="421">
        <f>1267.86*(KONSTNA)</f>
        <v>1267.8599999999999</v>
      </c>
      <c r="E78" s="432">
        <f>1546.48*(KONSTNA)</f>
        <v>1546.48</v>
      </c>
      <c r="G78" s="417">
        <v>2800</v>
      </c>
      <c r="H78" s="337">
        <f>824.16*(KONSTNA)</f>
        <v>824.16</v>
      </c>
      <c r="I78" s="309">
        <f>1309.04*(KONSTNA)</f>
        <v>1309.04</v>
      </c>
      <c r="J78" s="421">
        <f>1547.29*(KONSTNA)</f>
        <v>1547.29</v>
      </c>
      <c r="K78" s="432">
        <f>1905.49*(KONSTNA)</f>
        <v>1905.49</v>
      </c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</row>
    <row r="79" spans="1:29" ht="15.75" thickBot="1" x14ac:dyDescent="0.3">
      <c r="A79" s="417">
        <v>3000</v>
      </c>
      <c r="B79" s="337">
        <f>749*(KONSTNA)</f>
        <v>749</v>
      </c>
      <c r="C79" s="309">
        <f>1168.22*(KONSTNA)</f>
        <v>1168.22</v>
      </c>
      <c r="D79" s="421">
        <f>1338.54*(KONSTNA)</f>
        <v>1338.54</v>
      </c>
      <c r="E79" s="432">
        <f>1635.03*(KONSTNA)</f>
        <v>1635.03</v>
      </c>
      <c r="G79" s="434">
        <v>3000</v>
      </c>
      <c r="H79" s="435">
        <f>867.54*(KONSTNA)</f>
        <v>867.54</v>
      </c>
      <c r="I79" s="436">
        <f>1397.7*(KONSTNA)</f>
        <v>1397.7</v>
      </c>
      <c r="J79" s="437">
        <f>1635.84*(KONSTNA)</f>
        <v>1635.84</v>
      </c>
      <c r="K79" s="448">
        <f>2016.7*(KONSTNA)</f>
        <v>2016.7</v>
      </c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</row>
    <row r="80" spans="1:29" ht="15" x14ac:dyDescent="0.25">
      <c r="A80" s="417">
        <v>3200</v>
      </c>
      <c r="B80" s="337">
        <f>784.76*(KONSTNA)</f>
        <v>784.76</v>
      </c>
      <c r="C80" s="309">
        <f>1230.01*(KONSTNA)</f>
        <v>1230.01</v>
      </c>
      <c r="D80" s="421">
        <f>1410.31*(KONSTNA)</f>
        <v>1410.31</v>
      </c>
      <c r="E80" s="432">
        <f>1723.37*(KONSTNA)</f>
        <v>1723.37</v>
      </c>
      <c r="G80" s="438"/>
      <c r="H80" s="439"/>
      <c r="I80" s="439"/>
      <c r="J80" s="439"/>
      <c r="K80" s="44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</row>
    <row r="81" spans="1:29" ht="15.75" thickBot="1" x14ac:dyDescent="0.3">
      <c r="A81" s="417">
        <v>3400</v>
      </c>
      <c r="B81" s="337">
        <f>820.24*(KONSTNA)</f>
        <v>820.24</v>
      </c>
      <c r="C81" s="309">
        <f>1291.51*(KONSTNA)</f>
        <v>1291.51</v>
      </c>
      <c r="D81" s="421">
        <f>1480.77*(KONSTNA)</f>
        <v>1480.77</v>
      </c>
      <c r="E81" s="432">
        <f>1812.22*(KONSTNA)</f>
        <v>1812.22</v>
      </c>
      <c r="G81" s="412"/>
      <c r="H81" s="413"/>
      <c r="I81" s="413"/>
      <c r="J81" s="413"/>
      <c r="K81" s="97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0"/>
      <c r="Z81" s="430"/>
      <c r="AA81" s="430"/>
      <c r="AB81" s="430"/>
      <c r="AC81" s="430"/>
    </row>
    <row r="82" spans="1:29" ht="15" x14ac:dyDescent="0.25">
      <c r="A82" s="417">
        <v>3600</v>
      </c>
      <c r="B82" s="337">
        <f>855.46*(KONSTNA)</f>
        <v>855.46</v>
      </c>
      <c r="C82" s="309">
        <f>1353*(KONSTNA)</f>
        <v>1353</v>
      </c>
      <c r="D82" s="421">
        <f>1552.01*(KONSTNA)</f>
        <v>1552.01</v>
      </c>
      <c r="E82" s="432">
        <f>1901.58*(KONSTNA)</f>
        <v>1901.58</v>
      </c>
      <c r="G82" s="713" t="s">
        <v>249</v>
      </c>
      <c r="H82" s="55"/>
      <c r="I82" s="751" t="s">
        <v>174</v>
      </c>
      <c r="J82" s="751"/>
      <c r="K82" s="57"/>
      <c r="M82" s="430"/>
      <c r="N82" s="430"/>
      <c r="O82" s="430"/>
      <c r="P82" s="430"/>
      <c r="Q82" s="430"/>
      <c r="R82" s="430"/>
      <c r="S82" s="430"/>
      <c r="T82" s="430"/>
      <c r="U82" s="430"/>
      <c r="V82" s="430"/>
      <c r="W82" s="430"/>
      <c r="X82" s="430"/>
      <c r="Y82" s="430"/>
      <c r="Z82" s="430"/>
      <c r="AA82" s="430"/>
      <c r="AB82" s="430"/>
      <c r="AC82" s="430"/>
    </row>
    <row r="83" spans="1:29" ht="15.75" thickBot="1" x14ac:dyDescent="0.3">
      <c r="A83" s="417">
        <v>3800</v>
      </c>
      <c r="B83" s="337">
        <f>890.92*(KONSTNA)</f>
        <v>890.92</v>
      </c>
      <c r="C83" s="309">
        <f>1414.28*(KONSTNA)</f>
        <v>1414.28</v>
      </c>
      <c r="D83" s="421">
        <f>1622.98*(KONSTNA)</f>
        <v>1622.98</v>
      </c>
      <c r="E83" s="432">
        <f>1989.91*(KONSTNA)</f>
        <v>1989.91</v>
      </c>
      <c r="G83" s="714"/>
      <c r="H83" s="58">
        <v>70</v>
      </c>
      <c r="I83" s="59">
        <v>142</v>
      </c>
      <c r="J83" s="419">
        <v>214</v>
      </c>
      <c r="K83" s="60">
        <v>286</v>
      </c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0"/>
      <c r="Z83" s="430"/>
      <c r="AA83" s="430"/>
      <c r="AB83" s="430"/>
      <c r="AC83" s="430"/>
    </row>
    <row r="84" spans="1:29" ht="15.75" thickBot="1" x14ac:dyDescent="0.3">
      <c r="A84" s="418">
        <v>4000</v>
      </c>
      <c r="B84" s="339">
        <f>926.7*(KONSTNA)</f>
        <v>926.7</v>
      </c>
      <c r="C84" s="340">
        <f>1476.32*(KONSTNA)</f>
        <v>1476.32</v>
      </c>
      <c r="D84" s="422">
        <f>1693.68*(KONSTNA)</f>
        <v>1693.68</v>
      </c>
      <c r="E84" s="433">
        <f>2078.46*(KONSTNA)</f>
        <v>2078.46</v>
      </c>
      <c r="G84" s="415">
        <v>500</v>
      </c>
      <c r="H84" s="334">
        <f>385.75*(KONSTNA)</f>
        <v>385.75</v>
      </c>
      <c r="I84" s="335">
        <f>544.79*(KONSTNA)</f>
        <v>544.79</v>
      </c>
      <c r="J84" s="420">
        <f>632.05*(KONSTNA)</f>
        <v>632.04999999999995</v>
      </c>
      <c r="K84" s="431">
        <f>754.53*(KONSTNA)</f>
        <v>754.53</v>
      </c>
      <c r="M84" s="430"/>
      <c r="N84" s="430"/>
      <c r="O84" s="430"/>
      <c r="P84" s="430"/>
      <c r="Q84" s="430"/>
      <c r="R84" s="430"/>
      <c r="S84" s="430"/>
      <c r="T84" s="430"/>
      <c r="U84" s="430"/>
      <c r="V84" s="430"/>
      <c r="W84" s="430"/>
      <c r="X84" s="430"/>
      <c r="Y84" s="430"/>
      <c r="Z84" s="430"/>
      <c r="AA84" s="430"/>
      <c r="AB84" s="430"/>
      <c r="AC84" s="430"/>
    </row>
    <row r="85" spans="1:29" ht="15" x14ac:dyDescent="0.25">
      <c r="G85" s="416">
        <v>600</v>
      </c>
      <c r="H85" s="337">
        <f>412.05*(KONSTNA)</f>
        <v>412.05</v>
      </c>
      <c r="I85" s="309">
        <f>593.4*(KONSTNA)</f>
        <v>593.4</v>
      </c>
      <c r="J85" s="421">
        <f>688.02*(KONSTNA)</f>
        <v>688.02</v>
      </c>
      <c r="K85" s="432">
        <f>826.01*(KONSTNA)</f>
        <v>826.01</v>
      </c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0"/>
    </row>
    <row r="86" spans="1:29" ht="15.75" thickBot="1" x14ac:dyDescent="0.3">
      <c r="G86" s="416">
        <v>700</v>
      </c>
      <c r="H86" s="337">
        <f>438.3*(KONSTNA)</f>
        <v>438.3</v>
      </c>
      <c r="I86" s="309">
        <f>641.53*(KONSTNA)</f>
        <v>641.53</v>
      </c>
      <c r="J86" s="421">
        <f>744.28*(KONSTNA)</f>
        <v>744.28</v>
      </c>
      <c r="K86" s="432">
        <f>896.98*(KONSTNA)</f>
        <v>896.98</v>
      </c>
      <c r="M86" s="430"/>
      <c r="N86" s="430"/>
      <c r="O86" s="430"/>
      <c r="P86" s="430"/>
      <c r="Q86" s="430"/>
      <c r="R86" s="430"/>
      <c r="S86" s="430"/>
      <c r="T86" s="430"/>
      <c r="U86" s="430"/>
      <c r="V86" s="430"/>
      <c r="W86" s="430"/>
      <c r="X86" s="430"/>
      <c r="Y86" s="430"/>
      <c r="Z86" s="430"/>
      <c r="AA86" s="430"/>
      <c r="AB86" s="430"/>
      <c r="AC86" s="430"/>
    </row>
    <row r="87" spans="1:29" ht="15.75" thickBot="1" x14ac:dyDescent="0.3">
      <c r="A87" s="478" t="s">
        <v>175</v>
      </c>
      <c r="B87" s="479"/>
      <c r="C87" s="479"/>
      <c r="D87" s="479"/>
      <c r="E87" s="480"/>
      <c r="G87" s="416">
        <v>800</v>
      </c>
      <c r="H87" s="337">
        <f>464.34*(KONSTNA)</f>
        <v>464.34</v>
      </c>
      <c r="I87" s="309">
        <f>689.84*(KONSTNA)</f>
        <v>689.84</v>
      </c>
      <c r="J87" s="421">
        <f>800.78*(KONSTNA)</f>
        <v>800.78</v>
      </c>
      <c r="K87" s="432">
        <f>967.95*(KONSTNA)</f>
        <v>967.95</v>
      </c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0"/>
      <c r="Z87" s="430"/>
      <c r="AA87" s="430"/>
      <c r="AB87" s="430"/>
      <c r="AC87" s="430"/>
    </row>
    <row r="88" spans="1:29" ht="15" x14ac:dyDescent="0.25">
      <c r="A88" s="467" t="s">
        <v>259</v>
      </c>
      <c r="B88" s="97"/>
      <c r="C88" s="97"/>
      <c r="D88" s="97"/>
      <c r="E88" s="477"/>
      <c r="G88" s="416">
        <v>900</v>
      </c>
      <c r="H88" s="337">
        <f>489.81*(KONSTNA)</f>
        <v>489.81</v>
      </c>
      <c r="I88" s="309">
        <f>738.21*(KONSTNA)</f>
        <v>738.21</v>
      </c>
      <c r="J88" s="421">
        <f>855.99*(KONSTNA)</f>
        <v>855.99</v>
      </c>
      <c r="K88" s="432">
        <f>1039.17*(KONSTNA)</f>
        <v>1039.17</v>
      </c>
      <c r="M88" s="430"/>
      <c r="N88" s="430"/>
      <c r="O88" s="430"/>
      <c r="P88" s="430"/>
      <c r="Q88" s="430"/>
      <c r="R88" s="430"/>
      <c r="S88" s="430"/>
      <c r="T88" s="430"/>
      <c r="U88" s="430"/>
      <c r="V88" s="430"/>
      <c r="W88" s="430"/>
      <c r="X88" s="430"/>
      <c r="Y88" s="430"/>
      <c r="Z88" s="430"/>
      <c r="AA88" s="430"/>
      <c r="AB88" s="430"/>
      <c r="AC88" s="430"/>
    </row>
    <row r="89" spans="1:29" ht="15" x14ac:dyDescent="0.25">
      <c r="A89" s="475" t="s">
        <v>262</v>
      </c>
      <c r="B89" s="476"/>
      <c r="C89" s="476"/>
      <c r="D89" s="476"/>
      <c r="E89" s="431">
        <f>16.1*(KONSTNA)</f>
        <v>16.100000000000001</v>
      </c>
      <c r="G89" s="416">
        <v>1000</v>
      </c>
      <c r="H89" s="337">
        <f>516.12*(KONSTNA)</f>
        <v>516.12</v>
      </c>
      <c r="I89" s="309">
        <f>786.04*(KONSTNA)</f>
        <v>786.04</v>
      </c>
      <c r="J89" s="421">
        <f>912.5*(KONSTNA)</f>
        <v>912.5</v>
      </c>
      <c r="K89" s="432">
        <f>1110.94*(KONSTNA)</f>
        <v>1110.94</v>
      </c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</row>
    <row r="90" spans="1:29" ht="15" x14ac:dyDescent="0.25">
      <c r="A90" s="472" t="s">
        <v>260</v>
      </c>
      <c r="B90" s="473"/>
      <c r="C90" s="473"/>
      <c r="D90" s="473"/>
      <c r="E90" s="448"/>
      <c r="G90" s="416">
        <v>1100</v>
      </c>
      <c r="H90" s="337">
        <f>542.13*(KONSTNA)</f>
        <v>542.13</v>
      </c>
      <c r="I90" s="309">
        <f>834.68*(KONSTNA)</f>
        <v>834.68</v>
      </c>
      <c r="J90" s="421">
        <f>968.22*(KONSTNA)</f>
        <v>968.22</v>
      </c>
      <c r="K90" s="432">
        <f>1181.64*(KONSTNA)</f>
        <v>1181.6400000000001</v>
      </c>
      <c r="M90" s="430"/>
      <c r="N90" s="430"/>
      <c r="O90" s="430"/>
      <c r="P90" s="430"/>
      <c r="Q90" s="430"/>
      <c r="R90" s="430"/>
      <c r="S90" s="430"/>
      <c r="T90" s="430"/>
      <c r="U90" s="430"/>
      <c r="V90" s="430"/>
      <c r="W90" s="430"/>
      <c r="X90" s="430"/>
      <c r="Y90" s="430"/>
      <c r="Z90" s="430"/>
      <c r="AA90" s="430"/>
      <c r="AB90" s="430"/>
      <c r="AC90" s="430"/>
    </row>
    <row r="91" spans="1:29" ht="15" x14ac:dyDescent="0.25">
      <c r="A91" s="475" t="s">
        <v>261</v>
      </c>
      <c r="B91" s="476"/>
      <c r="C91" s="476"/>
      <c r="D91" s="476"/>
      <c r="E91" s="431">
        <f>16.1*(KONSTNA)</f>
        <v>16.100000000000001</v>
      </c>
      <c r="G91" s="416">
        <v>1200</v>
      </c>
      <c r="H91" s="337">
        <f>567.9*(KONSTNA)</f>
        <v>567.9</v>
      </c>
      <c r="I91" s="309">
        <f>883.05*(KONSTNA)</f>
        <v>883.05</v>
      </c>
      <c r="J91" s="421">
        <f>1024.99*(KONSTNA)</f>
        <v>1024.99</v>
      </c>
      <c r="K91" s="432">
        <f>1253.12*(KONSTNA)</f>
        <v>1253.1199999999999</v>
      </c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</row>
    <row r="92" spans="1:29" ht="15" x14ac:dyDescent="0.25">
      <c r="A92" s="468" t="s">
        <v>263</v>
      </c>
      <c r="B92" s="469"/>
      <c r="C92" s="469"/>
      <c r="D92" s="469"/>
      <c r="E92" s="432">
        <f>15.42*(KONSTNA)</f>
        <v>15.42</v>
      </c>
      <c r="G92" s="416">
        <v>1300</v>
      </c>
      <c r="H92" s="337">
        <f>593.94*(KONSTNA)</f>
        <v>593.94000000000005</v>
      </c>
      <c r="I92" s="309">
        <f>931.15*(KONSTNA)</f>
        <v>931.15</v>
      </c>
      <c r="J92" s="421">
        <f>1080.96*(KONSTNA)</f>
        <v>1080.96</v>
      </c>
      <c r="K92" s="432">
        <f>1324.09*(KONSTNA)</f>
        <v>1324.09</v>
      </c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</row>
    <row r="93" spans="1:29" ht="15" x14ac:dyDescent="0.25">
      <c r="A93" s="556" t="s">
        <v>392</v>
      </c>
      <c r="B93" s="473"/>
      <c r="C93" s="473"/>
      <c r="D93" s="473"/>
      <c r="E93" s="448">
        <f>4.71*(KONSTNA)</f>
        <v>4.71</v>
      </c>
      <c r="G93" s="416">
        <v>1400</v>
      </c>
      <c r="H93" s="337">
        <f>619.95*(KONSTNA)</f>
        <v>619.95000000000005</v>
      </c>
      <c r="I93" s="309">
        <f>979.52*(KONSTNA)</f>
        <v>979.52</v>
      </c>
      <c r="J93" s="421">
        <f>1136.71*(KONSTNA)</f>
        <v>1136.71</v>
      </c>
      <c r="K93" s="432">
        <f>1395.31*(KONSTNA)</f>
        <v>1395.31</v>
      </c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0"/>
    </row>
    <row r="94" spans="1:29" ht="15" x14ac:dyDescent="0.25">
      <c r="A94" s="557" t="s">
        <v>393</v>
      </c>
      <c r="B94" s="476"/>
      <c r="C94" s="476"/>
      <c r="D94" s="476"/>
      <c r="E94" s="431"/>
      <c r="G94" s="416">
        <v>1600</v>
      </c>
      <c r="H94" s="337">
        <f>671.46*(KONSTNA)</f>
        <v>671.46</v>
      </c>
      <c r="I94" s="309">
        <f>1076.23*(KONSTNA)</f>
        <v>1076.23</v>
      </c>
      <c r="J94" s="421">
        <f>1248.67*(KONSTNA)</f>
        <v>1248.67</v>
      </c>
      <c r="K94" s="432">
        <f>1537.54*(KONSTNA)</f>
        <v>1537.54</v>
      </c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0"/>
    </row>
    <row r="95" spans="1:29" ht="15" x14ac:dyDescent="0.25">
      <c r="A95" s="468" t="s">
        <v>264</v>
      </c>
      <c r="B95" s="469"/>
      <c r="C95" s="469"/>
      <c r="D95" s="469"/>
      <c r="E95" s="432">
        <f>6.21*(KONSTNA)</f>
        <v>6.21</v>
      </c>
      <c r="G95" s="417">
        <v>1800</v>
      </c>
      <c r="H95" s="337">
        <f>724.01*(KONSTNA)</f>
        <v>724.01</v>
      </c>
      <c r="I95" s="309">
        <f>1172.7*(KONSTNA)</f>
        <v>1172.7</v>
      </c>
      <c r="J95" s="421">
        <f>1361.19*(KONSTNA)</f>
        <v>1361.19</v>
      </c>
      <c r="K95" s="432">
        <f>1680.53*(KONSTNA)</f>
        <v>1680.53</v>
      </c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430"/>
      <c r="AC95" s="430"/>
    </row>
    <row r="96" spans="1:29" ht="15.75" thickBot="1" x14ac:dyDescent="0.3">
      <c r="A96" s="470" t="s">
        <v>265</v>
      </c>
      <c r="B96" s="471"/>
      <c r="C96" s="471"/>
      <c r="D96" s="471"/>
      <c r="E96" s="433">
        <f>5.63*(KONSTNA)</f>
        <v>5.63</v>
      </c>
      <c r="G96" s="417">
        <v>2000</v>
      </c>
      <c r="H96" s="337">
        <f>775.79*(KONSTNA)</f>
        <v>775.79</v>
      </c>
      <c r="I96" s="309">
        <f>1269.44*(KONSTNA)</f>
        <v>1269.44</v>
      </c>
      <c r="J96" s="421">
        <f>1473.12*(KONSTNA)</f>
        <v>1473.12</v>
      </c>
      <c r="K96" s="432">
        <f>1822.74*(KONSTNA)</f>
        <v>1822.74</v>
      </c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430"/>
      <c r="AC96" s="430"/>
    </row>
    <row r="97" spans="1:29" ht="15.75" thickBot="1" x14ac:dyDescent="0.3">
      <c r="G97" s="418">
        <v>2200</v>
      </c>
      <c r="H97" s="339">
        <f>827.6*(KONSTNA)</f>
        <v>827.6</v>
      </c>
      <c r="I97" s="340">
        <f>1365.65*(KONSTNA)</f>
        <v>1365.65</v>
      </c>
      <c r="J97" s="422">
        <f>1585.64*(KONSTNA)</f>
        <v>1585.64</v>
      </c>
      <c r="K97" s="433">
        <f>1964.65*(KONSTNA)</f>
        <v>1964.65</v>
      </c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</row>
    <row r="101" spans="1:29" x14ac:dyDescent="0.2">
      <c r="A101" s="97"/>
      <c r="B101" s="97"/>
      <c r="C101" s="97"/>
      <c r="D101" s="97"/>
      <c r="E101" s="97"/>
    </row>
    <row r="102" spans="1:29" x14ac:dyDescent="0.2">
      <c r="A102" s="97"/>
      <c r="B102" s="97"/>
      <c r="C102" s="97"/>
      <c r="D102" s="97"/>
      <c r="E102" s="97"/>
    </row>
    <row r="103" spans="1:29" ht="15" x14ac:dyDescent="0.25">
      <c r="A103" s="412"/>
      <c r="B103" s="413"/>
      <c r="C103" s="413"/>
      <c r="D103" s="413"/>
      <c r="E103" s="97"/>
    </row>
    <row r="104" spans="1:29" ht="15" x14ac:dyDescent="0.25">
      <c r="A104" s="412"/>
      <c r="B104" s="413"/>
      <c r="C104" s="413"/>
      <c r="D104" s="413"/>
      <c r="E104" s="97"/>
    </row>
    <row r="105" spans="1:29" ht="15" x14ac:dyDescent="0.25">
      <c r="A105" s="412"/>
      <c r="B105" s="413"/>
      <c r="C105" s="413"/>
      <c r="D105" s="413"/>
      <c r="E105" s="97"/>
    </row>
    <row r="106" spans="1:29" ht="15" x14ac:dyDescent="0.25">
      <c r="A106" s="412"/>
      <c r="B106" s="413"/>
      <c r="C106" s="413"/>
      <c r="D106" s="413"/>
      <c r="E106" s="97"/>
    </row>
    <row r="107" spans="1:29" x14ac:dyDescent="0.2">
      <c r="A107" s="97"/>
      <c r="B107" s="97"/>
      <c r="C107" s="97"/>
      <c r="D107" s="97"/>
      <c r="E107" s="97"/>
    </row>
  </sheetData>
  <mergeCells count="17">
    <mergeCell ref="A60:A61"/>
    <mergeCell ref="C60:D60"/>
    <mergeCell ref="F60:F61"/>
    <mergeCell ref="G60:G61"/>
    <mergeCell ref="I60:J60"/>
    <mergeCell ref="A7:A8"/>
    <mergeCell ref="G7:G8"/>
    <mergeCell ref="A34:A35"/>
    <mergeCell ref="F34:F35"/>
    <mergeCell ref="C34:D34"/>
    <mergeCell ref="G34:G35"/>
    <mergeCell ref="B7:C7"/>
    <mergeCell ref="H7:K7"/>
    <mergeCell ref="G82:G83"/>
    <mergeCell ref="I82:J82"/>
    <mergeCell ref="D2:E2"/>
    <mergeCell ref="I34:J34"/>
  </mergeCells>
  <pageMargins left="0.25" right="0.25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zoomScaleNormal="100" workbookViewId="0">
      <selection activeCell="C5" sqref="C5"/>
    </sheetView>
  </sheetViews>
  <sheetFormatPr defaultRowHeight="12.75" x14ac:dyDescent="0.2"/>
  <sheetData>
    <row r="1" spans="1:21" ht="19.5" x14ac:dyDescent="0.25">
      <c r="A1" s="44"/>
      <c r="B1" s="44"/>
      <c r="C1" s="44"/>
      <c r="D1" s="45"/>
      <c r="E1" s="385" t="s">
        <v>251</v>
      </c>
      <c r="F1" s="44"/>
      <c r="G1" s="47"/>
      <c r="H1" s="385"/>
      <c r="I1" s="385"/>
      <c r="J1" s="621"/>
    </row>
    <row r="2" spans="1:21" ht="15" x14ac:dyDescent="0.2">
      <c r="A2" s="48" t="s">
        <v>171</v>
      </c>
      <c r="B2" s="49"/>
      <c r="C2" s="49"/>
      <c r="D2" s="715" t="s">
        <v>416</v>
      </c>
      <c r="E2" s="716"/>
      <c r="F2" s="49"/>
      <c r="G2" s="49"/>
    </row>
    <row r="3" spans="1:21" x14ac:dyDescent="0.2">
      <c r="A3" s="49"/>
      <c r="B3" s="49"/>
      <c r="C3" s="49"/>
      <c r="D3" s="50"/>
      <c r="E3" s="50"/>
      <c r="F3" s="49"/>
      <c r="G3" s="49"/>
      <c r="H3" s="51"/>
      <c r="I3" s="52"/>
    </row>
    <row r="4" spans="1:21" x14ac:dyDescent="0.2">
      <c r="A4" s="49"/>
      <c r="B4" s="49"/>
      <c r="C4" s="49"/>
      <c r="D4" s="50"/>
      <c r="E4" s="50"/>
      <c r="F4" s="49"/>
      <c r="G4" s="49"/>
      <c r="H4" s="51"/>
      <c r="I4" s="52"/>
    </row>
    <row r="5" spans="1:21" x14ac:dyDescent="0.2">
      <c r="A5" s="10"/>
      <c r="B5" s="53" t="s">
        <v>172</v>
      </c>
      <c r="C5" s="74">
        <v>0</v>
      </c>
      <c r="D5" s="106"/>
      <c r="E5" s="50"/>
      <c r="F5" s="10"/>
      <c r="G5" s="10"/>
      <c r="H5" s="51"/>
      <c r="I5" s="52"/>
    </row>
    <row r="6" spans="1:21" ht="6" customHeight="1" thickBot="1" x14ac:dyDescent="0.25">
      <c r="A6" s="447">
        <f>1-C5</f>
        <v>1</v>
      </c>
      <c r="B6" s="49"/>
      <c r="C6" s="49"/>
      <c r="D6" s="424"/>
      <c r="E6" s="49"/>
      <c r="F6" s="49"/>
      <c r="G6" s="49"/>
      <c r="H6" s="49"/>
      <c r="I6" s="49"/>
    </row>
    <row r="7" spans="1:21" x14ac:dyDescent="0.2">
      <c r="A7" s="713" t="s">
        <v>244</v>
      </c>
      <c r="B7" s="750" t="s">
        <v>174</v>
      </c>
      <c r="C7" s="752"/>
      <c r="D7" s="425"/>
      <c r="E7" s="3"/>
      <c r="G7" s="713" t="s">
        <v>245</v>
      </c>
      <c r="H7" s="55"/>
      <c r="I7" s="56" t="s">
        <v>174</v>
      </c>
      <c r="J7" s="56"/>
      <c r="K7" s="425"/>
    </row>
    <row r="8" spans="1:21" ht="13.5" thickBot="1" x14ac:dyDescent="0.25">
      <c r="A8" s="714"/>
      <c r="B8" s="58">
        <v>214</v>
      </c>
      <c r="C8" s="419">
        <v>286</v>
      </c>
      <c r="D8" s="426"/>
      <c r="E8" s="61"/>
      <c r="G8" s="714"/>
      <c r="H8" s="58">
        <v>142</v>
      </c>
      <c r="I8" s="59">
        <v>214</v>
      </c>
      <c r="J8" s="419">
        <v>286</v>
      </c>
      <c r="K8" s="426"/>
    </row>
    <row r="9" spans="1:21" ht="15" x14ac:dyDescent="0.25">
      <c r="A9" s="415">
        <v>500</v>
      </c>
      <c r="B9" s="334">
        <f>245.58*(KONSTNAVT)</f>
        <v>245.58</v>
      </c>
      <c r="C9" s="420">
        <f>296.68*(KONSTNAVT)</f>
        <v>296.68</v>
      </c>
      <c r="D9" s="427"/>
      <c r="E9" s="62"/>
      <c r="G9" s="415">
        <v>500</v>
      </c>
      <c r="H9" s="334">
        <f>247.15*(KONSTNAVT)</f>
        <v>247.15</v>
      </c>
      <c r="I9" s="335">
        <f>304.23*(KONSTNAVT)</f>
        <v>304.23</v>
      </c>
      <c r="J9" s="420">
        <f>367.25*(KONSTNAVT)</f>
        <v>367.25</v>
      </c>
      <c r="K9" s="442"/>
      <c r="L9" s="482"/>
      <c r="M9" s="482"/>
      <c r="N9" s="482"/>
      <c r="O9" s="482"/>
      <c r="P9" s="482"/>
      <c r="Q9" s="482"/>
      <c r="R9" s="482"/>
      <c r="S9" s="482"/>
      <c r="T9" s="482"/>
      <c r="U9" s="482"/>
    </row>
    <row r="10" spans="1:21" ht="15" x14ac:dyDescent="0.25">
      <c r="A10" s="416">
        <v>600</v>
      </c>
      <c r="B10" s="337">
        <f>259.32*(KONSTNAVT)</f>
        <v>259.32</v>
      </c>
      <c r="C10" s="421">
        <f>313.83*(KONSTNAVT)</f>
        <v>313.83</v>
      </c>
      <c r="D10" s="427"/>
      <c r="E10" s="62"/>
      <c r="G10" s="416">
        <v>600</v>
      </c>
      <c r="H10" s="337">
        <f>261.15*(KONSTNAVT)</f>
        <v>261.14999999999998</v>
      </c>
      <c r="I10" s="309">
        <f>321.86*(KONSTNAVT)</f>
        <v>321.86</v>
      </c>
      <c r="J10" s="421">
        <f>388.8*(KONSTNAVT)</f>
        <v>388.8</v>
      </c>
      <c r="K10" s="442"/>
      <c r="L10" s="482"/>
      <c r="M10" s="482"/>
      <c r="N10" s="482"/>
      <c r="O10" s="482"/>
      <c r="P10" s="482"/>
      <c r="Q10" s="482"/>
      <c r="R10" s="482"/>
      <c r="S10" s="482"/>
      <c r="T10" s="482"/>
      <c r="U10" s="482"/>
    </row>
    <row r="11" spans="1:21" ht="15" x14ac:dyDescent="0.25">
      <c r="A11" s="416">
        <v>700</v>
      </c>
      <c r="B11" s="337">
        <f>273.07*(KONSTNAVT)</f>
        <v>273.07</v>
      </c>
      <c r="C11" s="421">
        <f>331.98*(KONSTNAVT)</f>
        <v>331.98</v>
      </c>
      <c r="D11" s="427"/>
      <c r="E11" s="62"/>
      <c r="G11" s="416">
        <v>700</v>
      </c>
      <c r="H11" s="337">
        <f>274.64*(KONSTNAVT)</f>
        <v>274.64</v>
      </c>
      <c r="I11" s="309">
        <f>339.23*(KONSTNAVT)</f>
        <v>339.23</v>
      </c>
      <c r="J11" s="421">
        <f>410.84*(KONSTNAVT)</f>
        <v>410.84</v>
      </c>
      <c r="K11" s="442"/>
      <c r="L11" s="482"/>
      <c r="M11" s="482"/>
      <c r="N11" s="482"/>
      <c r="O11" s="482"/>
      <c r="P11" s="482"/>
      <c r="Q11" s="482"/>
      <c r="R11" s="482"/>
      <c r="S11" s="482"/>
      <c r="T11" s="482"/>
      <c r="U11" s="482"/>
    </row>
    <row r="12" spans="1:21" ht="15" x14ac:dyDescent="0.25">
      <c r="A12" s="416">
        <v>800</v>
      </c>
      <c r="B12" s="337">
        <f>287.6*(KONSTNAVT)</f>
        <v>287.60000000000002</v>
      </c>
      <c r="C12" s="421">
        <f>349.87*(KONSTNAVT)</f>
        <v>349.87</v>
      </c>
      <c r="D12" s="423"/>
      <c r="E12" s="62"/>
      <c r="G12" s="416">
        <v>800</v>
      </c>
      <c r="H12" s="337">
        <f>288.39*(KONSTNAVT)</f>
        <v>288.39</v>
      </c>
      <c r="I12" s="309">
        <f>356.6*(KONSTNAVT)</f>
        <v>356.6</v>
      </c>
      <c r="J12" s="421">
        <f>432.62*(KONSTNAVT)</f>
        <v>432.62</v>
      </c>
      <c r="K12" s="442"/>
      <c r="L12" s="482"/>
      <c r="M12" s="482"/>
      <c r="N12" s="482"/>
      <c r="O12" s="482"/>
      <c r="P12" s="482"/>
      <c r="Q12" s="482"/>
      <c r="R12" s="482"/>
      <c r="S12" s="482"/>
      <c r="T12" s="482"/>
      <c r="U12" s="482"/>
    </row>
    <row r="13" spans="1:21" ht="15" x14ac:dyDescent="0.25">
      <c r="A13" s="416">
        <v>900</v>
      </c>
      <c r="B13" s="337">
        <f>302.13*(KONSTNAVT)</f>
        <v>302.13</v>
      </c>
      <c r="C13" s="421">
        <f>368.03*(KONSTNAVT)</f>
        <v>368.03</v>
      </c>
      <c r="D13" s="423"/>
      <c r="E13" s="62"/>
      <c r="G13" s="416">
        <v>900</v>
      </c>
      <c r="H13" s="337">
        <f>302.13*(KONSTNAVT)</f>
        <v>302.13</v>
      </c>
      <c r="I13" s="309">
        <f>374.01*(KONSTNAVT)</f>
        <v>374.01</v>
      </c>
      <c r="J13" s="421">
        <f>453.91*(KONSTNAVT)</f>
        <v>453.91</v>
      </c>
      <c r="K13" s="442"/>
      <c r="L13" s="482"/>
      <c r="M13" s="482"/>
      <c r="N13" s="482"/>
      <c r="O13" s="482"/>
      <c r="P13" s="482"/>
      <c r="Q13" s="482"/>
      <c r="R13" s="482"/>
      <c r="S13" s="482"/>
      <c r="T13" s="482"/>
      <c r="U13" s="482"/>
    </row>
    <row r="14" spans="1:21" ht="15" x14ac:dyDescent="0.25">
      <c r="A14" s="416">
        <v>1000</v>
      </c>
      <c r="B14" s="337">
        <f>316.93*(KONSTNAVT)</f>
        <v>316.93</v>
      </c>
      <c r="C14" s="421">
        <f>386.18*(KONSTNAVT)</f>
        <v>386.18</v>
      </c>
      <c r="D14" s="423"/>
      <c r="E14" s="62"/>
      <c r="G14" s="416">
        <v>1000</v>
      </c>
      <c r="H14" s="337">
        <f>315.88*(KONSTNAVT)</f>
        <v>315.88</v>
      </c>
      <c r="I14" s="309">
        <f>390.85*(KONSTNAVT)</f>
        <v>390.85</v>
      </c>
      <c r="J14" s="421">
        <f>475.69*(KONSTNAVT)</f>
        <v>475.69</v>
      </c>
      <c r="K14" s="442"/>
      <c r="L14" s="482"/>
      <c r="M14" s="482"/>
      <c r="N14" s="482"/>
      <c r="O14" s="482"/>
      <c r="P14" s="482"/>
      <c r="Q14" s="482"/>
      <c r="R14" s="482"/>
      <c r="S14" s="482"/>
      <c r="T14" s="482"/>
      <c r="U14" s="482"/>
    </row>
    <row r="15" spans="1:21" ht="15" x14ac:dyDescent="0.25">
      <c r="A15" s="416">
        <v>1100</v>
      </c>
      <c r="B15" s="337">
        <f>331.2*(KONSTNAVT)</f>
        <v>331.2</v>
      </c>
      <c r="C15" s="421">
        <f>404.6*(KONSTNAVT)</f>
        <v>404.6</v>
      </c>
      <c r="D15" s="423"/>
      <c r="E15" s="62"/>
      <c r="G15" s="416">
        <v>1100</v>
      </c>
      <c r="H15" s="337">
        <f>329.37*(KONSTNAVT)</f>
        <v>329.37</v>
      </c>
      <c r="I15" s="309">
        <f>408.22*(KONSTNAVT)</f>
        <v>408.22</v>
      </c>
      <c r="J15" s="421">
        <f>497.24*(KONSTNAVT)</f>
        <v>497.24</v>
      </c>
      <c r="K15" s="442"/>
      <c r="L15" s="482"/>
      <c r="M15" s="482"/>
      <c r="N15" s="482"/>
      <c r="O15" s="482"/>
      <c r="P15" s="482"/>
      <c r="Q15" s="482"/>
      <c r="R15" s="482"/>
      <c r="S15" s="482"/>
      <c r="T15" s="482"/>
      <c r="U15" s="482"/>
    </row>
    <row r="16" spans="1:21" ht="15" x14ac:dyDescent="0.25">
      <c r="A16" s="416">
        <v>1200</v>
      </c>
      <c r="B16" s="337">
        <f>345.21*(KONSTNAVT)</f>
        <v>345.21</v>
      </c>
      <c r="C16" s="421">
        <f>422.49*(KONSTNAVT)</f>
        <v>422.49</v>
      </c>
      <c r="D16" s="423"/>
      <c r="E16" s="62"/>
      <c r="G16" s="416">
        <v>1200</v>
      </c>
      <c r="H16" s="337">
        <f>342.85*(KONSTNAVT)</f>
        <v>342.85</v>
      </c>
      <c r="I16" s="309">
        <f>425.63*(KONSTNAVT)</f>
        <v>425.63</v>
      </c>
      <c r="J16" s="421">
        <f>519.02*(KONSTNAVT)</f>
        <v>519.02</v>
      </c>
      <c r="K16" s="442"/>
      <c r="L16" s="482"/>
      <c r="M16" s="482"/>
      <c r="N16" s="482"/>
      <c r="O16" s="482"/>
      <c r="P16" s="482"/>
      <c r="Q16" s="482"/>
      <c r="R16" s="482"/>
      <c r="S16" s="482"/>
      <c r="T16" s="482"/>
      <c r="U16" s="482"/>
    </row>
    <row r="17" spans="1:21" ht="15" x14ac:dyDescent="0.25">
      <c r="A17" s="416">
        <v>1300</v>
      </c>
      <c r="B17" s="337">
        <f>359.74*(KONSTNAVT)</f>
        <v>359.74</v>
      </c>
      <c r="C17" s="421">
        <f>440.43*(KONSTNAVT)</f>
        <v>440.43</v>
      </c>
      <c r="D17" s="423"/>
      <c r="E17" s="62"/>
      <c r="G17" s="416">
        <v>1300</v>
      </c>
      <c r="H17" s="337">
        <f>356.34*(KONSTNAVT)</f>
        <v>356.34</v>
      </c>
      <c r="I17" s="309">
        <f>443.26*(KONSTNAVT)</f>
        <v>443.26</v>
      </c>
      <c r="J17" s="421">
        <f>540.8*(KONSTNAVT)</f>
        <v>540.79999999999995</v>
      </c>
      <c r="K17" s="442"/>
      <c r="L17" s="482"/>
      <c r="M17" s="482"/>
      <c r="N17" s="482"/>
      <c r="O17" s="482"/>
      <c r="P17" s="482"/>
      <c r="Q17" s="482"/>
      <c r="R17" s="482"/>
      <c r="S17" s="482"/>
      <c r="T17" s="482"/>
      <c r="U17" s="482"/>
    </row>
    <row r="18" spans="1:21" ht="15" x14ac:dyDescent="0.25">
      <c r="A18" s="416">
        <v>1400</v>
      </c>
      <c r="B18" s="337">
        <f>374.01*(KONSTNAVT)</f>
        <v>374.01</v>
      </c>
      <c r="C18" s="421">
        <f>458.58*(KONSTNAVT)</f>
        <v>458.58</v>
      </c>
      <c r="D18" s="423"/>
      <c r="E18" s="62"/>
      <c r="G18" s="416">
        <v>1400</v>
      </c>
      <c r="H18" s="337">
        <f>370.12*(KONSTNAVT)</f>
        <v>370.12</v>
      </c>
      <c r="I18" s="309">
        <f>460.11*(KONSTNAVT)</f>
        <v>460.11</v>
      </c>
      <c r="J18" s="421">
        <f>562.62*(KONSTNAVT)</f>
        <v>562.62</v>
      </c>
      <c r="K18" s="442"/>
      <c r="L18" s="482"/>
      <c r="M18" s="482"/>
      <c r="N18" s="482"/>
      <c r="O18" s="482"/>
      <c r="P18" s="482"/>
      <c r="Q18" s="482"/>
      <c r="R18" s="482"/>
      <c r="S18" s="482"/>
      <c r="T18" s="482"/>
      <c r="U18" s="482"/>
    </row>
    <row r="19" spans="1:21" ht="15" x14ac:dyDescent="0.25">
      <c r="A19" s="416">
        <v>1600</v>
      </c>
      <c r="B19" s="337">
        <f>403.07*(KONSTNAVT)</f>
        <v>403.07</v>
      </c>
      <c r="C19" s="421">
        <f>494.11*(KONSTNAVT)</f>
        <v>494.11</v>
      </c>
      <c r="D19" s="423"/>
      <c r="E19" s="62"/>
      <c r="G19" s="416">
        <v>1600</v>
      </c>
      <c r="H19" s="337">
        <f>397.09*(KONSTNAVT)</f>
        <v>397.09</v>
      </c>
      <c r="I19" s="309">
        <f>495.41*(KONSTNAVT)</f>
        <v>495.41</v>
      </c>
      <c r="J19" s="421">
        <f>606.17*(KONSTNAVT)</f>
        <v>606.16999999999996</v>
      </c>
      <c r="K19" s="442"/>
      <c r="L19" s="482"/>
      <c r="M19" s="482"/>
      <c r="N19" s="482"/>
      <c r="O19" s="482"/>
      <c r="P19" s="482"/>
      <c r="Q19" s="482"/>
      <c r="R19" s="482"/>
      <c r="S19" s="482"/>
      <c r="T19" s="482"/>
      <c r="U19" s="482"/>
    </row>
    <row r="20" spans="1:21" ht="15" x14ac:dyDescent="0.25">
      <c r="A20" s="417">
        <v>1800</v>
      </c>
      <c r="B20" s="337">
        <f>431.83*(KONSTNAVT)</f>
        <v>431.83</v>
      </c>
      <c r="C20" s="421">
        <f>530.68*(KONSTNAVT)</f>
        <v>530.67999999999995</v>
      </c>
      <c r="D20" s="423"/>
      <c r="E20" s="62"/>
      <c r="G20" s="417">
        <v>1800</v>
      </c>
      <c r="H20" s="337">
        <f>424.59*(KONSTNAVT)</f>
        <v>424.59</v>
      </c>
      <c r="I20" s="309">
        <f>529.67*(KONSTNAVT)</f>
        <v>529.66999999999996</v>
      </c>
      <c r="J20" s="421">
        <f>649.51*(KONSTNAVT)</f>
        <v>649.51</v>
      </c>
      <c r="K20" s="442"/>
      <c r="L20" s="482"/>
      <c r="M20" s="482"/>
      <c r="N20" s="482"/>
      <c r="O20" s="482"/>
      <c r="P20" s="482"/>
      <c r="Q20" s="482"/>
      <c r="R20" s="482"/>
      <c r="S20" s="482"/>
      <c r="T20" s="482"/>
      <c r="U20" s="482"/>
    </row>
    <row r="21" spans="1:21" ht="15" x14ac:dyDescent="0.25">
      <c r="A21" s="417">
        <v>2000</v>
      </c>
      <c r="B21" s="337">
        <f>460.63*(KONSTNAVT)</f>
        <v>460.63</v>
      </c>
      <c r="C21" s="421">
        <f>566.5*(KONSTNAVT)</f>
        <v>566.5</v>
      </c>
      <c r="D21" s="423"/>
      <c r="E21" s="62"/>
      <c r="G21" s="417">
        <v>2000</v>
      </c>
      <c r="H21" s="337">
        <f>451.82*(KONSTNAVT)</f>
        <v>451.82</v>
      </c>
      <c r="I21" s="309">
        <f>564.15*(KONSTNAVT)</f>
        <v>564.15</v>
      </c>
      <c r="J21" s="421">
        <f>692.32*(KONSTNAVT)</f>
        <v>692.32</v>
      </c>
      <c r="K21" s="442"/>
      <c r="L21" s="482"/>
      <c r="M21" s="482"/>
      <c r="N21" s="482"/>
      <c r="O21" s="482"/>
      <c r="P21" s="482"/>
      <c r="Q21" s="482"/>
      <c r="R21" s="482"/>
      <c r="S21" s="482"/>
      <c r="T21" s="482"/>
      <c r="U21" s="482"/>
    </row>
    <row r="22" spans="1:21" ht="15" x14ac:dyDescent="0.25">
      <c r="A22" s="417">
        <v>2200</v>
      </c>
      <c r="B22" s="337">
        <f>489.7*(KONSTNAVT)</f>
        <v>489.7</v>
      </c>
      <c r="C22" s="421">
        <f>602.29*(KONSTNAVT)</f>
        <v>602.29</v>
      </c>
      <c r="D22" s="423"/>
      <c r="E22" s="62"/>
      <c r="G22" s="417">
        <v>2200</v>
      </c>
      <c r="H22" s="337">
        <f>479.31*(KONSTNAVT)</f>
        <v>479.31</v>
      </c>
      <c r="I22" s="309">
        <f>598.66*(KONSTNAVT)</f>
        <v>598.66</v>
      </c>
      <c r="J22" s="421">
        <f>735.91*(KONSTNAVT)</f>
        <v>735.91</v>
      </c>
      <c r="K22" s="442"/>
      <c r="L22" s="482"/>
      <c r="M22" s="482"/>
      <c r="N22" s="482"/>
      <c r="O22" s="482"/>
      <c r="P22" s="482"/>
      <c r="Q22" s="482"/>
      <c r="R22" s="482"/>
      <c r="S22" s="482"/>
      <c r="T22" s="482"/>
      <c r="U22" s="482"/>
    </row>
    <row r="23" spans="1:21" ht="15" x14ac:dyDescent="0.25">
      <c r="A23" s="417">
        <v>2400</v>
      </c>
      <c r="B23" s="337">
        <f>518.24*(KONSTNAVT)</f>
        <v>518.24</v>
      </c>
      <c r="C23" s="421">
        <f>638.37*(KONSTNAVT)</f>
        <v>638.37</v>
      </c>
      <c r="D23" s="423"/>
      <c r="E23" s="62"/>
      <c r="G23" s="417">
        <v>2400</v>
      </c>
      <c r="H23" s="337">
        <f>506.32*(KONSTNAVT)</f>
        <v>506.32</v>
      </c>
      <c r="I23" s="309">
        <f>633.44*(KONSTNAVT)</f>
        <v>633.44000000000005</v>
      </c>
      <c r="J23" s="421">
        <f>779.24*(KONSTNAVT)</f>
        <v>779.24</v>
      </c>
      <c r="K23" s="442"/>
      <c r="L23" s="482"/>
      <c r="M23" s="482"/>
      <c r="N23" s="482"/>
      <c r="O23" s="482"/>
      <c r="P23" s="482"/>
      <c r="Q23" s="482"/>
      <c r="R23" s="482"/>
      <c r="S23" s="482"/>
      <c r="T23" s="482"/>
      <c r="U23" s="482"/>
    </row>
    <row r="24" spans="1:21" ht="15" x14ac:dyDescent="0.25">
      <c r="A24" s="417">
        <v>2600</v>
      </c>
      <c r="B24" s="337">
        <f>574.79*(KONSTNAVT)</f>
        <v>574.79</v>
      </c>
      <c r="C24" s="421">
        <f>708.42*(KONSTNAVT)</f>
        <v>708.42</v>
      </c>
      <c r="D24" s="423"/>
      <c r="E24" s="62"/>
      <c r="G24" s="417">
        <v>2600</v>
      </c>
      <c r="H24" s="337">
        <f>560.52*(KONSTNAVT)</f>
        <v>560.52</v>
      </c>
      <c r="I24" s="309">
        <f>701.65*(KONSTNAVT)</f>
        <v>701.65</v>
      </c>
      <c r="J24" s="421">
        <f>863.82*(KONSTNAVT)</f>
        <v>863.82</v>
      </c>
      <c r="K24" s="442"/>
      <c r="L24" s="482"/>
      <c r="M24" s="482"/>
      <c r="N24" s="482"/>
      <c r="O24" s="482"/>
      <c r="P24" s="482"/>
      <c r="Q24" s="482"/>
      <c r="R24" s="482"/>
      <c r="S24" s="482"/>
      <c r="T24" s="482"/>
      <c r="U24" s="482"/>
    </row>
    <row r="25" spans="1:21" ht="15" x14ac:dyDescent="0.25">
      <c r="A25" s="417">
        <v>2800</v>
      </c>
      <c r="B25" s="337">
        <f>604.9*(KONSTNAVT)</f>
        <v>604.9</v>
      </c>
      <c r="C25" s="421">
        <f>746.3*(KONSTNAVT)</f>
        <v>746.3</v>
      </c>
      <c r="D25" s="423"/>
      <c r="E25" s="62"/>
      <c r="G25" s="417">
        <v>2800</v>
      </c>
      <c r="H25" s="337">
        <f>588.8*(KONSTNAVT)</f>
        <v>588.79999999999995</v>
      </c>
      <c r="I25" s="309">
        <f>737.96*(KONSTNAVT)</f>
        <v>737.96</v>
      </c>
      <c r="J25" s="421">
        <f>909.47*(KONSTNAVT)</f>
        <v>909.47</v>
      </c>
      <c r="K25" s="442"/>
      <c r="L25" s="482"/>
      <c r="M25" s="482"/>
      <c r="N25" s="482"/>
      <c r="O25" s="482"/>
      <c r="P25" s="482"/>
      <c r="Q25" s="482"/>
      <c r="R25" s="482"/>
      <c r="S25" s="482"/>
      <c r="T25" s="482"/>
      <c r="U25" s="482"/>
    </row>
    <row r="26" spans="1:21" ht="15" x14ac:dyDescent="0.25">
      <c r="A26" s="417">
        <v>3000</v>
      </c>
      <c r="B26" s="337">
        <f>634.97*(KONSTNAVT)</f>
        <v>634.97</v>
      </c>
      <c r="C26" s="421">
        <f>783.91*(KONSTNAVT)</f>
        <v>783.91</v>
      </c>
      <c r="D26" s="423"/>
      <c r="E26" s="62"/>
      <c r="G26" s="417">
        <v>3000</v>
      </c>
      <c r="H26" s="337">
        <f>617.87*(KONSTNAVT)</f>
        <v>617.87</v>
      </c>
      <c r="I26" s="309">
        <f>774.83*(KONSTNAVT)</f>
        <v>774.83</v>
      </c>
      <c r="J26" s="421">
        <f>955.11*(KONSTNAVT)</f>
        <v>955.11</v>
      </c>
      <c r="K26" s="442"/>
      <c r="L26" s="482"/>
      <c r="M26" s="482"/>
      <c r="N26" s="482"/>
      <c r="O26" s="482"/>
      <c r="P26" s="482"/>
      <c r="Q26" s="482"/>
      <c r="R26" s="482"/>
      <c r="S26" s="482"/>
      <c r="T26" s="482"/>
      <c r="U26" s="482"/>
    </row>
    <row r="27" spans="1:21" ht="15" x14ac:dyDescent="0.25">
      <c r="A27" s="417">
        <v>3200</v>
      </c>
      <c r="B27" s="337">
        <f>665.61*(KONSTNAVT)</f>
        <v>665.61</v>
      </c>
      <c r="C27" s="421">
        <f>821.53*(KONSTNAVT)</f>
        <v>821.53</v>
      </c>
      <c r="D27" s="423"/>
      <c r="E27" s="62"/>
      <c r="G27" s="417">
        <v>3200</v>
      </c>
      <c r="H27" s="337">
        <f>646.41*(KONSTNAVT)</f>
        <v>646.41</v>
      </c>
      <c r="I27" s="309">
        <f>811.14*(KONSTNAVT)</f>
        <v>811.14</v>
      </c>
      <c r="J27" s="421">
        <f>1000.54*(KONSTNAVT)</f>
        <v>1000.54</v>
      </c>
      <c r="K27" s="442"/>
      <c r="L27" s="482"/>
      <c r="M27" s="482"/>
      <c r="N27" s="482"/>
      <c r="O27" s="482"/>
      <c r="P27" s="482"/>
      <c r="Q27" s="482"/>
      <c r="R27" s="482"/>
      <c r="S27" s="482"/>
      <c r="T27" s="482"/>
      <c r="U27" s="482"/>
    </row>
    <row r="28" spans="1:21" ht="15" x14ac:dyDescent="0.25">
      <c r="A28" s="417">
        <v>3400</v>
      </c>
      <c r="B28" s="337">
        <f>696.2*(KONSTNAVT)</f>
        <v>696.2</v>
      </c>
      <c r="C28" s="421">
        <f>859.15*(KONSTNAVT)</f>
        <v>859.15</v>
      </c>
      <c r="D28" s="423"/>
      <c r="E28" s="62"/>
      <c r="G28" s="417">
        <v>3400</v>
      </c>
      <c r="H28" s="337">
        <f>674.95*(KONSTNAVT)</f>
        <v>674.95</v>
      </c>
      <c r="I28" s="309">
        <f>847.19*(KONSTNAVT)</f>
        <v>847.19</v>
      </c>
      <c r="J28" s="421">
        <f>1046.19*(KONSTNAVT)</f>
        <v>1046.19</v>
      </c>
      <c r="K28" s="442"/>
      <c r="L28" s="482"/>
      <c r="M28" s="482"/>
      <c r="N28" s="482"/>
      <c r="O28" s="482"/>
      <c r="P28" s="482"/>
      <c r="Q28" s="482"/>
      <c r="R28" s="482"/>
      <c r="S28" s="482"/>
      <c r="T28" s="482"/>
      <c r="U28" s="482"/>
    </row>
    <row r="29" spans="1:21" ht="15" x14ac:dyDescent="0.25">
      <c r="A29" s="417">
        <v>3600</v>
      </c>
      <c r="B29" s="337">
        <f>726.31*(KONSTNAVT)</f>
        <v>726.31</v>
      </c>
      <c r="C29" s="421">
        <f>897.51*(KONSTNAVT)</f>
        <v>897.51</v>
      </c>
      <c r="D29" s="423"/>
      <c r="E29" s="62"/>
      <c r="G29" s="417">
        <v>3600</v>
      </c>
      <c r="H29" s="337">
        <f>703.75*(KONSTNAVT)</f>
        <v>703.75</v>
      </c>
      <c r="I29" s="309">
        <f>883.76*(KONSTNAVT)</f>
        <v>883.76</v>
      </c>
      <c r="J29" s="421">
        <f>1091.58*(KONSTNAVT)</f>
        <v>1091.58</v>
      </c>
      <c r="K29" s="442"/>
      <c r="L29" s="482"/>
      <c r="M29" s="482"/>
      <c r="N29" s="482"/>
      <c r="O29" s="482"/>
      <c r="P29" s="482"/>
      <c r="Q29" s="482"/>
      <c r="R29" s="482"/>
      <c r="S29" s="482"/>
      <c r="T29" s="482"/>
      <c r="U29" s="482"/>
    </row>
    <row r="30" spans="1:21" ht="15" x14ac:dyDescent="0.25">
      <c r="A30" s="417">
        <v>3800</v>
      </c>
      <c r="B30" s="337">
        <f>756.64*(KONSTNAVT)</f>
        <v>756.64</v>
      </c>
      <c r="C30" s="421">
        <f>935.39*(KONSTNAVT)</f>
        <v>935.39</v>
      </c>
      <c r="D30" s="423"/>
      <c r="E30" s="62"/>
      <c r="G30" s="417">
        <v>3800</v>
      </c>
      <c r="H30" s="337">
        <f>732.29*(KONSTNAVT)</f>
        <v>732.29</v>
      </c>
      <c r="I30" s="309">
        <f>920.11*(KONSTNAVT)</f>
        <v>920.11</v>
      </c>
      <c r="J30" s="421">
        <f>1137.75*(KONSTNAVT)</f>
        <v>1137.75</v>
      </c>
      <c r="K30" s="442"/>
      <c r="L30" s="482"/>
      <c r="M30" s="482"/>
      <c r="N30" s="482"/>
      <c r="O30" s="482"/>
      <c r="P30" s="482"/>
      <c r="Q30" s="482"/>
      <c r="R30" s="482"/>
      <c r="S30" s="482"/>
      <c r="T30" s="482"/>
      <c r="U30" s="482"/>
    </row>
    <row r="31" spans="1:21" ht="15.75" thickBot="1" x14ac:dyDescent="0.3">
      <c r="A31" s="418">
        <v>4000</v>
      </c>
      <c r="B31" s="339">
        <f>787.01*(KONSTNAVT)</f>
        <v>787.01</v>
      </c>
      <c r="C31" s="422">
        <f>972.75*(KONSTNAVT)</f>
        <v>972.75</v>
      </c>
      <c r="D31" s="423"/>
      <c r="E31" s="62"/>
      <c r="G31" s="418">
        <v>4000</v>
      </c>
      <c r="H31" s="339">
        <f>760.83*(KONSTNAVT)</f>
        <v>760.83</v>
      </c>
      <c r="I31" s="340">
        <f>955.9*(KONSTNAVT)</f>
        <v>955.9</v>
      </c>
      <c r="J31" s="422">
        <f>1183.17*(KONSTNAVT)</f>
        <v>1183.17</v>
      </c>
      <c r="K31" s="442"/>
      <c r="L31" s="482"/>
      <c r="M31" s="482"/>
      <c r="N31" s="482"/>
      <c r="O31" s="482"/>
      <c r="P31" s="482"/>
      <c r="Q31" s="482"/>
      <c r="R31" s="482"/>
      <c r="S31" s="482"/>
      <c r="T31" s="482"/>
      <c r="U31" s="482"/>
    </row>
    <row r="32" spans="1:21" ht="6.75" customHeight="1" thickBot="1" x14ac:dyDescent="0.3">
      <c r="A32" s="67">
        <f>(1-C5)</f>
        <v>1</v>
      </c>
      <c r="B32" s="68"/>
      <c r="C32" s="69"/>
      <c r="D32" s="69"/>
      <c r="E32" s="70"/>
      <c r="F32" s="71"/>
      <c r="G32" s="71"/>
      <c r="H32" s="72"/>
      <c r="I32" s="275"/>
      <c r="L32" s="482"/>
      <c r="M32" s="482"/>
      <c r="N32" s="482"/>
      <c r="O32" s="482"/>
      <c r="P32" s="482"/>
      <c r="Q32" s="482"/>
      <c r="R32" s="482"/>
      <c r="S32" s="482"/>
      <c r="T32" s="482"/>
      <c r="U32" s="482"/>
    </row>
    <row r="33" spans="1:21" x14ac:dyDescent="0.2">
      <c r="A33" s="713" t="s">
        <v>246</v>
      </c>
      <c r="B33" s="55"/>
      <c r="C33" s="445" t="s">
        <v>174</v>
      </c>
      <c r="D33" s="446"/>
      <c r="E33" s="425"/>
      <c r="F33" s="753"/>
      <c r="G33" s="713" t="s">
        <v>247</v>
      </c>
      <c r="H33" s="55"/>
      <c r="I33" s="445" t="s">
        <v>174</v>
      </c>
      <c r="J33" s="446"/>
      <c r="K33" s="425"/>
      <c r="L33" s="482"/>
      <c r="M33" s="482"/>
      <c r="N33" s="482"/>
      <c r="O33" s="482"/>
      <c r="P33" s="482"/>
      <c r="Q33" s="482"/>
      <c r="R33" s="482"/>
      <c r="S33" s="482"/>
      <c r="T33" s="482"/>
      <c r="U33" s="482"/>
    </row>
    <row r="34" spans="1:21" ht="13.5" thickBot="1" x14ac:dyDescent="0.25">
      <c r="A34" s="714"/>
      <c r="B34" s="58">
        <v>142</v>
      </c>
      <c r="C34" s="59">
        <v>214</v>
      </c>
      <c r="D34" s="419">
        <v>286</v>
      </c>
      <c r="E34" s="426"/>
      <c r="F34" s="754"/>
      <c r="G34" s="714"/>
      <c r="H34" s="58">
        <v>142</v>
      </c>
      <c r="I34" s="59">
        <v>214</v>
      </c>
      <c r="J34" s="419">
        <v>286</v>
      </c>
      <c r="K34" s="426"/>
      <c r="L34" s="482"/>
      <c r="M34" s="482"/>
      <c r="N34" s="482"/>
      <c r="O34" s="482"/>
      <c r="P34" s="482"/>
      <c r="Q34" s="482"/>
      <c r="R34" s="482"/>
      <c r="S34" s="482"/>
      <c r="T34" s="482"/>
      <c r="U34" s="482"/>
    </row>
    <row r="35" spans="1:21" ht="15" x14ac:dyDescent="0.25">
      <c r="A35" s="415">
        <v>500</v>
      </c>
      <c r="B35" s="334">
        <f>313.04*(KONSTNAVT)</f>
        <v>313.04000000000002</v>
      </c>
      <c r="C35" s="335">
        <f>359.74*(KONSTNAVT)</f>
        <v>359.74</v>
      </c>
      <c r="D35" s="420">
        <f>425.89*(KONSTNAVT)</f>
        <v>425.89</v>
      </c>
      <c r="E35" s="442"/>
      <c r="F35" s="429"/>
      <c r="G35" s="415">
        <v>500</v>
      </c>
      <c r="H35" s="334">
        <f>346.25*(KONSTNAVT)</f>
        <v>346.25</v>
      </c>
      <c r="I35" s="335">
        <f>392.42*(KONSTNAVT)</f>
        <v>392.42</v>
      </c>
      <c r="J35" s="420">
        <f>461.16*(KONSTNAVT)</f>
        <v>461.16</v>
      </c>
      <c r="K35" s="441"/>
      <c r="L35" s="482"/>
      <c r="M35" s="482"/>
      <c r="N35" s="482"/>
      <c r="O35" s="482"/>
      <c r="P35" s="482"/>
      <c r="Q35" s="482"/>
      <c r="R35" s="482"/>
      <c r="S35" s="482"/>
      <c r="T35" s="482"/>
      <c r="U35" s="482"/>
    </row>
    <row r="36" spans="1:21" ht="15" x14ac:dyDescent="0.25">
      <c r="A36" s="416">
        <v>600</v>
      </c>
      <c r="B36" s="337">
        <f>336.65*(KONSTNAVT)</f>
        <v>336.65</v>
      </c>
      <c r="C36" s="309">
        <f>385.4*(KONSTNAVT)</f>
        <v>385.4</v>
      </c>
      <c r="D36" s="421">
        <f>458.58*(KONSTNAVT)</f>
        <v>458.58</v>
      </c>
      <c r="E36" s="442"/>
      <c r="F36" s="429"/>
      <c r="G36" s="416">
        <v>600</v>
      </c>
      <c r="H36" s="337">
        <f>372.7*(KONSTNAVT)</f>
        <v>372.7</v>
      </c>
      <c r="I36" s="309">
        <f>422.01*(KONSTNAVT)</f>
        <v>422.01</v>
      </c>
      <c r="J36" s="421">
        <f>499.3*(KONSTNAVT)</f>
        <v>499.3</v>
      </c>
      <c r="K36" s="441"/>
      <c r="L36" s="482"/>
      <c r="M36" s="482"/>
      <c r="N36" s="482"/>
      <c r="O36" s="482"/>
      <c r="P36" s="482"/>
      <c r="Q36" s="482"/>
      <c r="R36" s="482"/>
      <c r="S36" s="482"/>
      <c r="T36" s="482"/>
      <c r="U36" s="482"/>
    </row>
    <row r="37" spans="1:21" ht="15" x14ac:dyDescent="0.25">
      <c r="A37" s="416">
        <v>700</v>
      </c>
      <c r="B37" s="337">
        <f>359.48*(KONSTNAVT)</f>
        <v>359.48</v>
      </c>
      <c r="C37" s="309">
        <f>411.62*(KONSTNAVT)</f>
        <v>411.62</v>
      </c>
      <c r="D37" s="421">
        <f>490.48*(KONSTNAVT)</f>
        <v>490.48</v>
      </c>
      <c r="E37" s="442"/>
      <c r="F37" s="429"/>
      <c r="G37" s="416">
        <v>700</v>
      </c>
      <c r="H37" s="337">
        <f>398.89*(KONSTNAVT)</f>
        <v>398.89</v>
      </c>
      <c r="I37" s="309">
        <f>451.56*(KONSTNAVT)</f>
        <v>451.56</v>
      </c>
      <c r="J37" s="421">
        <f>536.92*(KONSTNAVT)</f>
        <v>536.91999999999996</v>
      </c>
      <c r="K37" s="441"/>
      <c r="L37" s="482"/>
      <c r="M37" s="482"/>
      <c r="N37" s="482"/>
      <c r="O37" s="482"/>
      <c r="P37" s="482"/>
      <c r="Q37" s="482"/>
      <c r="R37" s="482"/>
      <c r="S37" s="482"/>
      <c r="T37" s="482"/>
      <c r="U37" s="482"/>
    </row>
    <row r="38" spans="1:21" ht="15" x14ac:dyDescent="0.25">
      <c r="A38" s="416">
        <v>800</v>
      </c>
      <c r="B38" s="337">
        <f>382.82*(KONSTNAVT)</f>
        <v>382.82</v>
      </c>
      <c r="C38" s="309">
        <f>436.76*(KONSTNAVT)</f>
        <v>436.76</v>
      </c>
      <c r="D38" s="421">
        <f>522.38*(KONSTNAVT)</f>
        <v>522.38</v>
      </c>
      <c r="E38" s="442"/>
      <c r="F38" s="429"/>
      <c r="G38" s="416">
        <v>800</v>
      </c>
      <c r="H38" s="337">
        <f>425.37*(KONSTNAVT)</f>
        <v>425.37</v>
      </c>
      <c r="I38" s="309">
        <f>481.67*(KONSTNAVT)</f>
        <v>481.67</v>
      </c>
      <c r="J38" s="421">
        <f>574.27*(KONSTNAVT)</f>
        <v>574.27</v>
      </c>
      <c r="K38" s="441"/>
      <c r="L38" s="482"/>
      <c r="M38" s="482"/>
      <c r="N38" s="482"/>
      <c r="O38" s="482"/>
      <c r="P38" s="482"/>
      <c r="Q38" s="482"/>
      <c r="R38" s="482"/>
      <c r="S38" s="482"/>
      <c r="T38" s="482"/>
      <c r="U38" s="482"/>
    </row>
    <row r="39" spans="1:21" ht="15" x14ac:dyDescent="0.25">
      <c r="A39" s="416">
        <v>900</v>
      </c>
      <c r="B39" s="337">
        <f>405.65*(KONSTNAVT)</f>
        <v>405.65</v>
      </c>
      <c r="C39" s="309">
        <f>463.25*(KONSTNAVT)</f>
        <v>463.25</v>
      </c>
      <c r="D39" s="421">
        <f>555.07*(KONSTNAVT)</f>
        <v>555.07000000000005</v>
      </c>
      <c r="E39" s="442"/>
      <c r="F39" s="429"/>
      <c r="G39" s="416">
        <v>900</v>
      </c>
      <c r="H39" s="337">
        <f>451.56*(KONSTNAVT)</f>
        <v>451.56</v>
      </c>
      <c r="I39" s="309">
        <f>511.25*(KONSTNAVT)</f>
        <v>511.25</v>
      </c>
      <c r="J39" s="421">
        <f>612.41*(KONSTNAVT)</f>
        <v>612.41</v>
      </c>
      <c r="K39" s="441"/>
      <c r="L39" s="482"/>
      <c r="M39" s="482"/>
      <c r="N39" s="482"/>
      <c r="O39" s="482"/>
      <c r="P39" s="482"/>
      <c r="Q39" s="482"/>
      <c r="R39" s="482"/>
      <c r="S39" s="482"/>
      <c r="T39" s="482"/>
      <c r="U39" s="482"/>
    </row>
    <row r="40" spans="1:21" ht="15" x14ac:dyDescent="0.25">
      <c r="A40" s="416">
        <v>1000</v>
      </c>
      <c r="B40" s="337">
        <f>428.99*(KONSTNAVT)</f>
        <v>428.99</v>
      </c>
      <c r="C40" s="309">
        <f>488.65*(KONSTNAVT)</f>
        <v>488.65</v>
      </c>
      <c r="D40" s="421">
        <f>586.97*(KONSTNAVT)</f>
        <v>586.97</v>
      </c>
      <c r="E40" s="442"/>
      <c r="F40" s="429"/>
      <c r="G40" s="416">
        <v>1000</v>
      </c>
      <c r="H40" s="337">
        <f>477.78*(KONSTNAVT)</f>
        <v>477.78</v>
      </c>
      <c r="I40" s="309">
        <f>541.06*(KONSTNAVT)</f>
        <v>541.05999999999995</v>
      </c>
      <c r="J40" s="421">
        <f>650.03*(KONSTNAVT)</f>
        <v>650.03</v>
      </c>
      <c r="K40" s="441"/>
      <c r="L40" s="482"/>
      <c r="M40" s="482"/>
      <c r="N40" s="482"/>
      <c r="O40" s="482"/>
      <c r="P40" s="482"/>
      <c r="Q40" s="482"/>
      <c r="R40" s="482"/>
      <c r="S40" s="482"/>
      <c r="T40" s="482"/>
      <c r="U40" s="482"/>
    </row>
    <row r="41" spans="1:21" ht="15" x14ac:dyDescent="0.25">
      <c r="A41" s="416">
        <v>1100</v>
      </c>
      <c r="B41" s="337">
        <f>452.08*(KONSTNAVT)</f>
        <v>452.08</v>
      </c>
      <c r="C41" s="309">
        <f>514.35*(KONSTNAVT)</f>
        <v>514.35</v>
      </c>
      <c r="D41" s="421">
        <f>619.43*(KONSTNAVT)</f>
        <v>619.42999999999995</v>
      </c>
      <c r="E41" s="442"/>
      <c r="F41" s="429"/>
      <c r="G41" s="416">
        <v>1100</v>
      </c>
      <c r="H41" s="337">
        <f>504.23*(KONSTNAVT)</f>
        <v>504.23</v>
      </c>
      <c r="I41" s="309">
        <f>570.91*(KONSTNAVT)</f>
        <v>570.91</v>
      </c>
      <c r="J41" s="421">
        <f>687.91*(KONSTNAVT)</f>
        <v>687.91</v>
      </c>
      <c r="K41" s="441"/>
      <c r="L41" s="482"/>
      <c r="M41" s="482"/>
      <c r="N41" s="482"/>
      <c r="O41" s="482"/>
      <c r="P41" s="482"/>
      <c r="Q41" s="482"/>
      <c r="R41" s="482"/>
      <c r="S41" s="482"/>
      <c r="T41" s="482"/>
      <c r="U41" s="482"/>
    </row>
    <row r="42" spans="1:21" ht="15" x14ac:dyDescent="0.25">
      <c r="A42" s="416">
        <v>1200</v>
      </c>
      <c r="B42" s="337">
        <f>475.69*(KONSTNAVT)</f>
        <v>475.69</v>
      </c>
      <c r="C42" s="309">
        <f>540.28*(KONSTNAVT)</f>
        <v>540.28</v>
      </c>
      <c r="D42" s="421">
        <f>651.34*(KONSTNAVT)</f>
        <v>651.34</v>
      </c>
      <c r="E42" s="442"/>
      <c r="F42" s="429"/>
      <c r="G42" s="416">
        <v>1200</v>
      </c>
      <c r="H42" s="337">
        <f>530.68*(KONSTNAVT)</f>
        <v>530.67999999999995</v>
      </c>
      <c r="I42" s="309">
        <f>601.24*(KONSTNAVT)</f>
        <v>601.24</v>
      </c>
      <c r="J42" s="421">
        <f>725.26*(KONSTNAVT)</f>
        <v>725.26</v>
      </c>
      <c r="K42" s="441"/>
      <c r="L42" s="482"/>
      <c r="M42" s="482"/>
      <c r="N42" s="482"/>
      <c r="O42" s="482"/>
      <c r="P42" s="482"/>
      <c r="Q42" s="482"/>
      <c r="R42" s="482"/>
      <c r="S42" s="482"/>
      <c r="T42" s="482"/>
      <c r="U42" s="482"/>
    </row>
    <row r="43" spans="1:21" ht="15" x14ac:dyDescent="0.25">
      <c r="A43" s="416">
        <v>1300</v>
      </c>
      <c r="B43" s="337">
        <f>498.51*(KONSTNAVT)</f>
        <v>498.51</v>
      </c>
      <c r="C43" s="309">
        <f>565.98*(KONSTNAVT)</f>
        <v>565.98</v>
      </c>
      <c r="D43" s="421">
        <f>683.76*(KONSTNAVT)</f>
        <v>683.76</v>
      </c>
      <c r="E43" s="442"/>
      <c r="F43" s="429"/>
      <c r="G43" s="416">
        <v>1300</v>
      </c>
      <c r="H43" s="337">
        <f>556.9*(KONSTNAVT)</f>
        <v>556.9</v>
      </c>
      <c r="I43" s="309">
        <f>630.83*(KONSTNAVT)</f>
        <v>630.83000000000004</v>
      </c>
      <c r="J43" s="421">
        <f>762.88*(KONSTNAVT)</f>
        <v>762.88</v>
      </c>
      <c r="K43" s="441"/>
      <c r="L43" s="482"/>
      <c r="M43" s="482"/>
      <c r="N43" s="482"/>
      <c r="O43" s="482"/>
      <c r="P43" s="482"/>
      <c r="Q43" s="482"/>
      <c r="R43" s="482"/>
      <c r="S43" s="482"/>
      <c r="T43" s="482"/>
      <c r="U43" s="482"/>
    </row>
    <row r="44" spans="1:21" ht="15" x14ac:dyDescent="0.25">
      <c r="A44" s="416">
        <v>1400</v>
      </c>
      <c r="B44" s="337">
        <f>521.86*(KONSTNAVT)</f>
        <v>521.86</v>
      </c>
      <c r="C44" s="309">
        <f>591.9*(KONSTNAVT)</f>
        <v>591.9</v>
      </c>
      <c r="D44" s="421">
        <f>716.19*(KONSTNAVT)</f>
        <v>716.19</v>
      </c>
      <c r="E44" s="442"/>
      <c r="F44" s="429"/>
      <c r="G44" s="416">
        <v>1400</v>
      </c>
      <c r="H44" s="337">
        <f>583.35*(KONSTNAVT)</f>
        <v>583.35</v>
      </c>
      <c r="I44" s="309">
        <f>660.41*(KONSTNAVT)</f>
        <v>660.41</v>
      </c>
      <c r="J44" s="421">
        <f>800.76*(KONSTNAVT)</f>
        <v>800.76</v>
      </c>
      <c r="K44" s="441"/>
      <c r="L44" s="482"/>
      <c r="M44" s="482"/>
      <c r="N44" s="482"/>
      <c r="O44" s="482"/>
      <c r="P44" s="482"/>
      <c r="Q44" s="482"/>
      <c r="R44" s="482"/>
      <c r="S44" s="482"/>
      <c r="T44" s="482"/>
      <c r="U44" s="482"/>
    </row>
    <row r="45" spans="1:21" ht="15" x14ac:dyDescent="0.25">
      <c r="A45" s="416">
        <v>1600</v>
      </c>
      <c r="B45" s="337">
        <f>568.29*(KONSTNAVT)</f>
        <v>568.29</v>
      </c>
      <c r="C45" s="309">
        <f>643.27*(KONSTNAVT)</f>
        <v>643.27</v>
      </c>
      <c r="D45" s="421">
        <f>780.77*(KONSTNAVT)</f>
        <v>780.77</v>
      </c>
      <c r="E45" s="442"/>
      <c r="F45" s="429"/>
      <c r="G45" s="416">
        <v>1600</v>
      </c>
      <c r="H45" s="337">
        <f>636.02*(KONSTNAVT)</f>
        <v>636.02</v>
      </c>
      <c r="I45" s="309">
        <f>720.33*(KONSTNAVT)</f>
        <v>720.33</v>
      </c>
      <c r="J45" s="421">
        <f>876.26*(KONSTNAVT)</f>
        <v>876.26</v>
      </c>
      <c r="K45" s="441"/>
      <c r="L45" s="482"/>
      <c r="M45" s="482"/>
      <c r="N45" s="482"/>
      <c r="O45" s="482"/>
      <c r="P45" s="482"/>
      <c r="Q45" s="482"/>
      <c r="R45" s="482"/>
      <c r="S45" s="482"/>
      <c r="T45" s="482"/>
      <c r="U45" s="482"/>
    </row>
    <row r="46" spans="1:21" ht="15" x14ac:dyDescent="0.25">
      <c r="A46" s="417">
        <v>1800</v>
      </c>
      <c r="B46" s="337">
        <f>614.5*(KONSTNAVT)</f>
        <v>614.5</v>
      </c>
      <c r="C46" s="309">
        <f>694.93*(KONSTNAVT)</f>
        <v>694.93</v>
      </c>
      <c r="D46" s="421">
        <f>844.62*(KONSTNAVT)</f>
        <v>844.62</v>
      </c>
      <c r="E46" s="442"/>
      <c r="G46" s="417">
        <v>1800</v>
      </c>
      <c r="H46" s="337">
        <f>688.95*(KONSTNAVT)</f>
        <v>688.95</v>
      </c>
      <c r="I46" s="309">
        <f>780.25*(KONSTNAVT)</f>
        <v>780.25</v>
      </c>
      <c r="J46" s="421">
        <f>951.49*(KONSTNAVT)</f>
        <v>951.49</v>
      </c>
      <c r="K46" s="441"/>
      <c r="L46" s="482"/>
      <c r="M46" s="482"/>
      <c r="N46" s="482"/>
      <c r="O46" s="482"/>
      <c r="P46" s="482"/>
      <c r="Q46" s="482"/>
      <c r="R46" s="482"/>
      <c r="S46" s="482"/>
      <c r="T46" s="482"/>
      <c r="U46" s="482"/>
    </row>
    <row r="47" spans="1:21" ht="15" x14ac:dyDescent="0.25">
      <c r="A47" s="417">
        <v>2000</v>
      </c>
      <c r="B47" s="337">
        <f>660.68*(KONSTNAVT)</f>
        <v>660.68</v>
      </c>
      <c r="C47" s="309">
        <f>746.56*(KONSTNAVT)</f>
        <v>746.56</v>
      </c>
      <c r="D47" s="421">
        <f>909.2*(KONSTNAVT)</f>
        <v>909.2</v>
      </c>
      <c r="E47" s="442"/>
      <c r="G47" s="417">
        <v>2000</v>
      </c>
      <c r="H47" s="337">
        <f>741.36*(KONSTNAVT)</f>
        <v>741.36</v>
      </c>
      <c r="I47" s="309">
        <f>839.68*(KONSTNAVT)</f>
        <v>839.68</v>
      </c>
      <c r="J47" s="421">
        <f>1026.73*(KONSTNAVT)</f>
        <v>1026.73</v>
      </c>
      <c r="K47" s="441"/>
      <c r="L47" s="482"/>
      <c r="M47" s="482"/>
      <c r="N47" s="482"/>
      <c r="O47" s="482"/>
      <c r="P47" s="482"/>
      <c r="Q47" s="482"/>
      <c r="R47" s="482"/>
      <c r="S47" s="482"/>
      <c r="T47" s="482"/>
      <c r="U47" s="482"/>
    </row>
    <row r="48" spans="1:21" ht="15" x14ac:dyDescent="0.25">
      <c r="A48" s="417">
        <v>2200</v>
      </c>
      <c r="B48" s="337">
        <f>707.11*(KONSTNAVT)</f>
        <v>707.11</v>
      </c>
      <c r="C48" s="309">
        <f>797.92*(KONSTNAVT)</f>
        <v>797.92</v>
      </c>
      <c r="D48" s="421">
        <f>973.79*(KONSTNAVT)</f>
        <v>973.79</v>
      </c>
      <c r="E48" s="442"/>
      <c r="G48" s="417">
        <v>2200</v>
      </c>
      <c r="H48" s="337">
        <f>794*(KONSTNAVT)</f>
        <v>794</v>
      </c>
      <c r="I48" s="309">
        <f>899.34*(KONSTNAVT)</f>
        <v>899.34</v>
      </c>
      <c r="J48" s="421">
        <f>1102.22*(KONSTNAVT)</f>
        <v>1102.22</v>
      </c>
      <c r="K48" s="441"/>
      <c r="L48" s="482"/>
      <c r="M48" s="482"/>
      <c r="N48" s="482"/>
      <c r="O48" s="482"/>
      <c r="P48" s="482"/>
      <c r="Q48" s="482"/>
      <c r="R48" s="482"/>
      <c r="S48" s="482"/>
      <c r="T48" s="482"/>
      <c r="U48" s="482"/>
    </row>
    <row r="49" spans="1:21" ht="15" x14ac:dyDescent="0.25">
      <c r="A49" s="417">
        <v>2400</v>
      </c>
      <c r="B49" s="337">
        <f>753.8*(KONSTNAVT)</f>
        <v>753.8</v>
      </c>
      <c r="C49" s="309">
        <f>849.55*(KONSTNAVT)</f>
        <v>849.55</v>
      </c>
      <c r="D49" s="421">
        <f>1038.16*(KONSTNAVT)</f>
        <v>1038.1600000000001</v>
      </c>
      <c r="E49" s="442"/>
      <c r="G49" s="417">
        <v>2400</v>
      </c>
      <c r="H49" s="337">
        <f>847.19*(KONSTNAVT)</f>
        <v>847.19</v>
      </c>
      <c r="I49" s="309">
        <f>959.26*(KONSTNAVT)</f>
        <v>959.26</v>
      </c>
      <c r="J49" s="421">
        <f>1177.98*(KONSTNAVT)</f>
        <v>1177.98</v>
      </c>
      <c r="K49" s="441"/>
      <c r="L49" s="482"/>
      <c r="M49" s="482"/>
      <c r="N49" s="482"/>
      <c r="O49" s="482"/>
      <c r="P49" s="482"/>
      <c r="Q49" s="482"/>
      <c r="R49" s="482"/>
      <c r="S49" s="482"/>
      <c r="T49" s="482"/>
      <c r="U49" s="482"/>
    </row>
    <row r="50" spans="1:21" ht="15" x14ac:dyDescent="0.25">
      <c r="A50" s="417">
        <v>2600</v>
      </c>
      <c r="B50" s="337">
        <f>839.95*(KONSTNAVT)</f>
        <v>839.95</v>
      </c>
      <c r="C50" s="309">
        <f>945.78*(KONSTNAVT)</f>
        <v>945.78</v>
      </c>
      <c r="D50" s="421">
        <f>1158.26*(KONSTNAVT)</f>
        <v>1158.26</v>
      </c>
      <c r="E50" s="442"/>
      <c r="G50" s="417">
        <v>2600</v>
      </c>
      <c r="H50" s="337">
        <f>944.99*(KONSTNAVT)</f>
        <v>944.99</v>
      </c>
      <c r="I50" s="309">
        <f>1069.8*(KONSTNAVT)</f>
        <v>1069.8</v>
      </c>
      <c r="J50" s="421">
        <f>1316.01*(KONSTNAVT)</f>
        <v>1316.01</v>
      </c>
      <c r="K50" s="441"/>
      <c r="L50" s="482"/>
      <c r="M50" s="482"/>
      <c r="N50" s="482"/>
      <c r="O50" s="482"/>
      <c r="P50" s="482"/>
      <c r="Q50" s="482"/>
      <c r="R50" s="482"/>
      <c r="S50" s="482"/>
      <c r="T50" s="482"/>
      <c r="U50" s="482"/>
    </row>
    <row r="51" spans="1:21" ht="15" x14ac:dyDescent="0.25">
      <c r="A51" s="417">
        <v>2800</v>
      </c>
      <c r="B51" s="337">
        <f>889.22*(KONSTNAVT)</f>
        <v>889.22</v>
      </c>
      <c r="C51" s="309">
        <f>1000.28*(KONSTNAVT)</f>
        <v>1000.28</v>
      </c>
      <c r="D51" s="421">
        <f>1225.72*(KONSTNAVT)</f>
        <v>1225.72</v>
      </c>
      <c r="E51" s="442"/>
      <c r="G51" s="417">
        <v>2800</v>
      </c>
      <c r="H51" s="337">
        <f>1000.28*(KONSTNAVT)</f>
        <v>1000.28</v>
      </c>
      <c r="I51" s="309">
        <f>1132.82*(KONSTNAVT)</f>
        <v>1132.82</v>
      </c>
      <c r="J51" s="421">
        <f>1395.13*(KONSTNAVT)</f>
        <v>1395.13</v>
      </c>
      <c r="K51" s="441"/>
      <c r="L51" s="482"/>
      <c r="M51" s="482"/>
      <c r="N51" s="482"/>
      <c r="O51" s="482"/>
      <c r="P51" s="482"/>
      <c r="Q51" s="482"/>
      <c r="R51" s="482"/>
      <c r="S51" s="482"/>
      <c r="T51" s="482"/>
      <c r="U51" s="482"/>
    </row>
    <row r="52" spans="1:21" ht="15" x14ac:dyDescent="0.25">
      <c r="A52" s="417">
        <v>3000</v>
      </c>
      <c r="B52" s="337">
        <f>937.48*(KONSTNAVT)</f>
        <v>937.48</v>
      </c>
      <c r="C52" s="309">
        <f>1054.22*(KONSTNAVT)</f>
        <v>1054.22</v>
      </c>
      <c r="D52" s="421">
        <f>1293.15*(KONSTNAVT)</f>
        <v>1293.1500000000001</v>
      </c>
      <c r="E52" s="442"/>
      <c r="G52" s="417">
        <v>3000</v>
      </c>
      <c r="H52" s="337">
        <f>1055.53*(KONSTNAVT)</f>
        <v>1055.53</v>
      </c>
      <c r="I52" s="309">
        <f>1195.35*(KONSTNAVT)</f>
        <v>1195.3499999999999</v>
      </c>
      <c r="J52" s="421">
        <f>1474.77*(KONSTNAVT)</f>
        <v>1474.77</v>
      </c>
      <c r="K52" s="441"/>
      <c r="L52" s="482"/>
      <c r="M52" s="482"/>
      <c r="N52" s="482"/>
      <c r="O52" s="482"/>
      <c r="P52" s="482"/>
      <c r="Q52" s="482"/>
      <c r="R52" s="482"/>
      <c r="S52" s="482"/>
      <c r="T52" s="482"/>
      <c r="U52" s="482"/>
    </row>
    <row r="53" spans="1:21" ht="15" x14ac:dyDescent="0.25">
      <c r="A53" s="417">
        <v>3200</v>
      </c>
      <c r="B53" s="337">
        <f>986.01*(KONSTNAVT)</f>
        <v>986.01</v>
      </c>
      <c r="C53" s="309">
        <f>1108.72*(KONSTNAVT)</f>
        <v>1108.72</v>
      </c>
      <c r="D53" s="421">
        <f>1361.13*(KONSTNAVT)</f>
        <v>1361.13</v>
      </c>
      <c r="E53" s="442"/>
      <c r="G53" s="417">
        <v>3200</v>
      </c>
      <c r="H53" s="337">
        <f>1110.51*(KONSTNAVT)</f>
        <v>1110.51</v>
      </c>
      <c r="I53" s="309">
        <f>1257.62*(KONSTNAVT)</f>
        <v>1257.6199999999999</v>
      </c>
      <c r="J53" s="421">
        <f>1553.63*(KONSTNAVT)</f>
        <v>1553.63</v>
      </c>
      <c r="K53" s="441"/>
      <c r="L53" s="482"/>
      <c r="M53" s="482"/>
      <c r="N53" s="482"/>
      <c r="O53" s="482"/>
      <c r="P53" s="482"/>
      <c r="Q53" s="482"/>
      <c r="R53" s="482"/>
      <c r="S53" s="482"/>
      <c r="T53" s="482"/>
      <c r="U53" s="482"/>
    </row>
    <row r="54" spans="1:21" ht="15" x14ac:dyDescent="0.25">
      <c r="A54" s="417">
        <v>3400</v>
      </c>
      <c r="B54" s="337">
        <f>1035.02*(KONSTNAVT)</f>
        <v>1035.02</v>
      </c>
      <c r="C54" s="309">
        <f>1163.19*(KONSTNAVT)</f>
        <v>1163.19</v>
      </c>
      <c r="D54" s="421">
        <f>1429.09*(KONSTNAVT)</f>
        <v>1429.09</v>
      </c>
      <c r="E54" s="442"/>
      <c r="G54" s="417">
        <v>3400</v>
      </c>
      <c r="H54" s="337">
        <f>1166.29*(KONSTNAVT)</f>
        <v>1166.29</v>
      </c>
      <c r="I54" s="309">
        <f>1320.68*(KONSTNAVT)</f>
        <v>1320.68</v>
      </c>
      <c r="J54" s="421">
        <f>1632.75*(KONSTNAVT)</f>
        <v>1632.75</v>
      </c>
      <c r="K54" s="441"/>
      <c r="L54" s="482"/>
      <c r="M54" s="482"/>
      <c r="N54" s="482"/>
      <c r="O54" s="482"/>
      <c r="P54" s="482"/>
      <c r="Q54" s="482"/>
      <c r="R54" s="482"/>
      <c r="S54" s="482"/>
      <c r="T54" s="482"/>
      <c r="U54" s="482"/>
    </row>
    <row r="55" spans="1:21" ht="15" x14ac:dyDescent="0.25">
      <c r="A55" s="417">
        <v>3600</v>
      </c>
      <c r="B55" s="337">
        <f>1083.02*(KONSTNAVT)</f>
        <v>1083.02</v>
      </c>
      <c r="C55" s="309">
        <f>1216.38*(KONSTNAVT)</f>
        <v>1216.3800000000001</v>
      </c>
      <c r="D55" s="421">
        <f>1496.55*(KONSTNAVT)</f>
        <v>1496.55</v>
      </c>
      <c r="E55" s="442"/>
      <c r="G55" s="417">
        <v>3600</v>
      </c>
      <c r="H55" s="337">
        <f>1221.57*(KONSTNAVT)</f>
        <v>1221.57</v>
      </c>
      <c r="I55" s="309">
        <f>1383.44*(KONSTNAVT)</f>
        <v>1383.44</v>
      </c>
      <c r="J55" s="421">
        <f>1711.87*(KONSTNAVT)</f>
        <v>1711.87</v>
      </c>
      <c r="K55" s="441"/>
      <c r="L55" s="482"/>
      <c r="M55" s="482"/>
      <c r="N55" s="482"/>
      <c r="O55" s="482"/>
      <c r="P55" s="482"/>
      <c r="Q55" s="482"/>
      <c r="R55" s="482"/>
      <c r="S55" s="482"/>
      <c r="T55" s="482"/>
      <c r="U55" s="482"/>
    </row>
    <row r="56" spans="1:21" ht="15" x14ac:dyDescent="0.25">
      <c r="A56" s="417">
        <v>3800</v>
      </c>
      <c r="B56" s="337">
        <f>1132.55*(KONSTNAVT)</f>
        <v>1132.55</v>
      </c>
      <c r="C56" s="309">
        <f>1270.85*(KONSTNAVT)</f>
        <v>1270.8499999999999</v>
      </c>
      <c r="D56" s="421">
        <f>1564.28*(KONSTNAVT)</f>
        <v>1564.28</v>
      </c>
      <c r="E56" s="442"/>
      <c r="G56" s="417">
        <v>3800</v>
      </c>
      <c r="H56" s="337">
        <f>1276.82*(KONSTNAVT)</f>
        <v>1276.82</v>
      </c>
      <c r="I56" s="309">
        <f>1446.23*(KONSTNAVT)</f>
        <v>1446.23</v>
      </c>
      <c r="J56" s="421">
        <f>1791.25*(KONSTNAVT)</f>
        <v>1791.25</v>
      </c>
      <c r="K56" s="441"/>
      <c r="L56" s="482"/>
      <c r="M56" s="482"/>
      <c r="N56" s="482"/>
      <c r="O56" s="482"/>
      <c r="P56" s="482"/>
      <c r="Q56" s="482"/>
      <c r="R56" s="482"/>
      <c r="S56" s="482"/>
      <c r="T56" s="482"/>
      <c r="U56" s="482"/>
    </row>
    <row r="57" spans="1:21" ht="15.75" thickBot="1" x14ac:dyDescent="0.3">
      <c r="A57" s="418">
        <v>4000</v>
      </c>
      <c r="B57" s="339">
        <f>1180.56*(KONSTNAVT)</f>
        <v>1180.56</v>
      </c>
      <c r="C57" s="340">
        <f>1325.35*(KONSTNAVT)</f>
        <v>1325.35</v>
      </c>
      <c r="D57" s="422">
        <f>1631.7*(KONSTNAVT)</f>
        <v>1631.7</v>
      </c>
      <c r="E57" s="442"/>
      <c r="G57" s="418">
        <v>4000</v>
      </c>
      <c r="H57" s="339">
        <f>1332.6*(KONSTNAVT)</f>
        <v>1332.6</v>
      </c>
      <c r="I57" s="340">
        <f>1508.5*(KONSTNAVT)</f>
        <v>1508.5</v>
      </c>
      <c r="J57" s="422">
        <f>1870.41*(KONSTNAVT)</f>
        <v>1870.41</v>
      </c>
      <c r="K57" s="441"/>
      <c r="L57" s="482"/>
      <c r="M57" s="482"/>
      <c r="N57" s="482"/>
      <c r="O57" s="482"/>
      <c r="P57" s="482"/>
      <c r="Q57" s="482"/>
      <c r="R57" s="482"/>
      <c r="S57" s="482"/>
      <c r="T57" s="482"/>
      <c r="U57" s="482"/>
    </row>
    <row r="58" spans="1:21" ht="4.5" customHeight="1" thickBot="1" x14ac:dyDescent="0.25">
      <c r="L58" s="482"/>
      <c r="M58" s="482"/>
      <c r="N58" s="482"/>
      <c r="O58" s="482"/>
      <c r="P58" s="482"/>
      <c r="Q58" s="482"/>
      <c r="R58" s="482"/>
      <c r="S58" s="482"/>
      <c r="T58" s="482"/>
      <c r="U58" s="482"/>
    </row>
    <row r="59" spans="1:21" x14ac:dyDescent="0.2">
      <c r="A59" s="713" t="s">
        <v>248</v>
      </c>
      <c r="B59" s="55"/>
      <c r="C59" s="445" t="s">
        <v>174</v>
      </c>
      <c r="D59" s="446"/>
      <c r="E59" s="425"/>
      <c r="F59" s="753"/>
      <c r="G59" s="713" t="s">
        <v>250</v>
      </c>
      <c r="H59" s="55"/>
      <c r="I59" s="445" t="s">
        <v>174</v>
      </c>
      <c r="J59" s="446"/>
      <c r="K59" s="425"/>
      <c r="L59" s="482"/>
      <c r="M59" s="482"/>
      <c r="N59" s="482"/>
      <c r="O59" s="482"/>
      <c r="P59" s="482"/>
      <c r="Q59" s="482"/>
      <c r="R59" s="482"/>
      <c r="S59" s="482"/>
      <c r="T59" s="482"/>
      <c r="U59" s="482"/>
    </row>
    <row r="60" spans="1:21" ht="13.5" thickBot="1" x14ac:dyDescent="0.25">
      <c r="A60" s="714"/>
      <c r="B60" s="58">
        <v>142</v>
      </c>
      <c r="C60" s="59">
        <v>214</v>
      </c>
      <c r="D60" s="419">
        <v>286</v>
      </c>
      <c r="E60" s="426"/>
      <c r="F60" s="754"/>
      <c r="G60" s="714"/>
      <c r="H60" s="58">
        <v>142</v>
      </c>
      <c r="I60" s="59">
        <v>214</v>
      </c>
      <c r="J60" s="419">
        <v>286</v>
      </c>
      <c r="K60" s="426"/>
      <c r="L60" s="482"/>
      <c r="M60" s="482"/>
      <c r="N60" s="482"/>
      <c r="O60" s="482"/>
      <c r="P60" s="482"/>
      <c r="Q60" s="482"/>
      <c r="R60" s="482"/>
      <c r="S60" s="482"/>
      <c r="T60" s="482"/>
      <c r="U60" s="482"/>
    </row>
    <row r="61" spans="1:21" ht="15" x14ac:dyDescent="0.25">
      <c r="A61" s="415">
        <v>500</v>
      </c>
      <c r="B61" s="334">
        <f>392.16*(KONSTNAVT)</f>
        <v>392.16</v>
      </c>
      <c r="C61" s="335">
        <f>445.36*(KONSTNAVT)</f>
        <v>445.36</v>
      </c>
      <c r="D61" s="420">
        <f>517.98*(KONSTNAVT)</f>
        <v>517.98</v>
      </c>
      <c r="E61" s="443"/>
      <c r="F61" s="429"/>
      <c r="G61" s="415">
        <v>500</v>
      </c>
      <c r="H61" s="334">
        <f>448.46*(KONSTNAVT)</f>
        <v>448.46</v>
      </c>
      <c r="I61" s="335">
        <f>519.02*(KONSTNAVT)</f>
        <v>519.02</v>
      </c>
      <c r="J61" s="420">
        <f>620.18*(KONSTNAVT)</f>
        <v>620.17999999999995</v>
      </c>
      <c r="K61" s="442"/>
      <c r="L61" s="482"/>
      <c r="M61" s="482"/>
      <c r="N61" s="482"/>
      <c r="O61" s="482"/>
      <c r="P61" s="482"/>
      <c r="Q61" s="482"/>
      <c r="R61" s="482"/>
      <c r="S61" s="482"/>
      <c r="T61" s="482"/>
      <c r="U61" s="482"/>
    </row>
    <row r="62" spans="1:21" ht="15" x14ac:dyDescent="0.25">
      <c r="A62" s="416">
        <v>600</v>
      </c>
      <c r="B62" s="337">
        <f>422.01*(KONSTNAVT)</f>
        <v>422.01</v>
      </c>
      <c r="C62" s="309">
        <f>480.36*(KONSTNAVT)</f>
        <v>480.36</v>
      </c>
      <c r="D62" s="421">
        <f>561.83*(KONSTNAVT)</f>
        <v>561.83000000000004</v>
      </c>
      <c r="E62" s="443"/>
      <c r="F62" s="429"/>
      <c r="G62" s="416">
        <v>600</v>
      </c>
      <c r="H62" s="337">
        <f>485.55*(KONSTNAVT)</f>
        <v>485.55</v>
      </c>
      <c r="I62" s="309">
        <f>562.88*(KONSTNAVT)</f>
        <v>562.88</v>
      </c>
      <c r="J62" s="421">
        <f>675.21*(KONSTNAVT)</f>
        <v>675.21</v>
      </c>
      <c r="K62" s="442"/>
      <c r="L62" s="482"/>
      <c r="M62" s="482"/>
      <c r="N62" s="482"/>
      <c r="O62" s="482"/>
      <c r="P62" s="482"/>
      <c r="Q62" s="482"/>
      <c r="R62" s="482"/>
      <c r="S62" s="482"/>
      <c r="T62" s="482"/>
      <c r="U62" s="482"/>
    </row>
    <row r="63" spans="1:21" ht="15" x14ac:dyDescent="0.25">
      <c r="A63" s="416">
        <v>700</v>
      </c>
      <c r="B63" s="337">
        <f>452.08*(KONSTNAVT)</f>
        <v>452.08</v>
      </c>
      <c r="C63" s="309">
        <f>515.4*(KONSTNAVT)</f>
        <v>515.4</v>
      </c>
      <c r="D63" s="421">
        <f>605.16*(KONSTNAVT)</f>
        <v>605.16</v>
      </c>
      <c r="E63" s="443"/>
      <c r="F63" s="429"/>
      <c r="G63" s="416">
        <v>700</v>
      </c>
      <c r="H63" s="337">
        <f>522.65*(KONSTNAVT)</f>
        <v>522.65</v>
      </c>
      <c r="I63" s="309">
        <f>606.43*(KONSTNAVT)</f>
        <v>606.42999999999995</v>
      </c>
      <c r="J63" s="421">
        <f>729.67*(KONSTNAVT)</f>
        <v>729.67</v>
      </c>
      <c r="K63" s="442"/>
      <c r="L63" s="482"/>
      <c r="M63" s="482"/>
      <c r="N63" s="482"/>
      <c r="O63" s="482"/>
      <c r="P63" s="482"/>
      <c r="Q63" s="482"/>
      <c r="R63" s="482"/>
      <c r="S63" s="482"/>
      <c r="T63" s="482"/>
      <c r="U63" s="482"/>
    </row>
    <row r="64" spans="1:21" ht="15" x14ac:dyDescent="0.25">
      <c r="A64" s="416">
        <v>800</v>
      </c>
      <c r="B64" s="337">
        <f>482.71*(KONSTNAVT)</f>
        <v>482.71</v>
      </c>
      <c r="C64" s="309">
        <f>550.14*(KONSTNAVT)</f>
        <v>550.14</v>
      </c>
      <c r="D64" s="421">
        <f>649.51*(KONSTNAVT)</f>
        <v>649.51</v>
      </c>
      <c r="E64" s="443"/>
      <c r="F64" s="429"/>
      <c r="G64" s="416">
        <v>800</v>
      </c>
      <c r="H64" s="337">
        <f>559.74*(KONSTNAVT)</f>
        <v>559.74</v>
      </c>
      <c r="I64" s="309">
        <f>650.03*(KONSTNAVT)</f>
        <v>650.03</v>
      </c>
      <c r="J64" s="421">
        <f>784.66*(KONSTNAVT)</f>
        <v>784.66</v>
      </c>
      <c r="K64" s="442"/>
      <c r="L64" s="482"/>
      <c r="M64" s="482"/>
      <c r="N64" s="482"/>
      <c r="O64" s="482"/>
      <c r="P64" s="482"/>
      <c r="Q64" s="482"/>
      <c r="R64" s="482"/>
      <c r="S64" s="482"/>
      <c r="T64" s="482"/>
      <c r="U64" s="482"/>
    </row>
    <row r="65" spans="1:21" ht="15" x14ac:dyDescent="0.25">
      <c r="A65" s="416">
        <v>900</v>
      </c>
      <c r="B65" s="337">
        <f>512.78*(KONSTNAVT)</f>
        <v>512.78</v>
      </c>
      <c r="C65" s="309">
        <f>584.92*(KONSTNAVT)</f>
        <v>584.91999999999996</v>
      </c>
      <c r="D65" s="421">
        <f>692.84*(KONSTNAVT)</f>
        <v>692.84</v>
      </c>
      <c r="E65" s="443"/>
      <c r="F65" s="429"/>
      <c r="G65" s="416">
        <v>900</v>
      </c>
      <c r="H65" s="337">
        <f>596.83*(KONSTNAVT)</f>
        <v>596.83000000000004</v>
      </c>
      <c r="I65" s="309">
        <f>693.88*(KONSTNAVT)</f>
        <v>693.88</v>
      </c>
      <c r="J65" s="421">
        <f>838.9*(KONSTNAVT)</f>
        <v>838.9</v>
      </c>
      <c r="K65" s="442"/>
      <c r="L65" s="482"/>
      <c r="M65" s="482"/>
      <c r="N65" s="482"/>
      <c r="O65" s="482"/>
      <c r="P65" s="482"/>
      <c r="Q65" s="482"/>
      <c r="R65" s="482"/>
      <c r="S65" s="482"/>
      <c r="T65" s="482"/>
      <c r="U65" s="482"/>
    </row>
    <row r="66" spans="1:21" ht="15" x14ac:dyDescent="0.25">
      <c r="A66" s="416">
        <v>1000</v>
      </c>
      <c r="B66" s="337">
        <f>543.42*(KONSTNAVT)</f>
        <v>543.41999999999996</v>
      </c>
      <c r="C66" s="309">
        <f>619.92*(KONSTNAVT)</f>
        <v>619.91999999999996</v>
      </c>
      <c r="D66" s="421">
        <f>736.17*(KONSTNAVT)</f>
        <v>736.17</v>
      </c>
      <c r="E66" s="443"/>
      <c r="F66" s="429"/>
      <c r="G66" s="416">
        <v>1000</v>
      </c>
      <c r="H66" s="337">
        <f>633.7*(KONSTNAVT)</f>
        <v>633.70000000000005</v>
      </c>
      <c r="I66" s="309">
        <f>737.22*(KONSTNAVT)</f>
        <v>737.22</v>
      </c>
      <c r="J66" s="421">
        <f>893.63*(KONSTNAVT)</f>
        <v>893.63</v>
      </c>
      <c r="K66" s="442"/>
      <c r="L66" s="482"/>
      <c r="M66" s="482"/>
      <c r="N66" s="482"/>
      <c r="O66" s="482"/>
      <c r="P66" s="482"/>
      <c r="Q66" s="482"/>
      <c r="R66" s="482"/>
      <c r="S66" s="482"/>
      <c r="T66" s="482"/>
      <c r="U66" s="482"/>
    </row>
    <row r="67" spans="1:21" ht="15" x14ac:dyDescent="0.25">
      <c r="A67" s="416">
        <v>1100</v>
      </c>
      <c r="B67" s="337">
        <f>573.75*(KONSTNAVT)</f>
        <v>573.75</v>
      </c>
      <c r="C67" s="309">
        <f>654.7*(KONSTNAVT)</f>
        <v>654.70000000000005</v>
      </c>
      <c r="D67" s="421">
        <f>780.25*(KONSTNAVT)</f>
        <v>780.25</v>
      </c>
      <c r="E67" s="443"/>
      <c r="F67" s="429"/>
      <c r="G67" s="416">
        <v>1100</v>
      </c>
      <c r="H67" s="337">
        <f>671.06*(KONSTNAVT)</f>
        <v>671.06</v>
      </c>
      <c r="I67" s="309">
        <f>781.04*(KONSTNAVT)</f>
        <v>781.04</v>
      </c>
      <c r="J67" s="421">
        <f>948.39*(KONSTNAVT)</f>
        <v>948.39</v>
      </c>
      <c r="K67" s="442"/>
      <c r="L67" s="482"/>
      <c r="M67" s="482"/>
      <c r="N67" s="482"/>
      <c r="O67" s="482"/>
      <c r="P67" s="482"/>
      <c r="Q67" s="482"/>
      <c r="R67" s="482"/>
      <c r="S67" s="482"/>
      <c r="T67" s="482"/>
      <c r="U67" s="482"/>
    </row>
    <row r="68" spans="1:21" ht="15" x14ac:dyDescent="0.25">
      <c r="A68" s="416">
        <v>1200</v>
      </c>
      <c r="B68" s="337">
        <f>604.12*(KONSTNAVT)</f>
        <v>604.12</v>
      </c>
      <c r="C68" s="309">
        <f>689.74*(KONSTNAVT)</f>
        <v>689.74</v>
      </c>
      <c r="D68" s="421">
        <f>823.85*(KONSTNAVT)</f>
        <v>823.85</v>
      </c>
      <c r="E68" s="443"/>
      <c r="F68" s="429"/>
      <c r="G68" s="416">
        <v>1200</v>
      </c>
      <c r="H68" s="337">
        <f>708.15*(KONSTNAVT)</f>
        <v>708.15</v>
      </c>
      <c r="I68" s="309">
        <f>824.63*(KONSTNAVT)</f>
        <v>824.63</v>
      </c>
      <c r="J68" s="421">
        <f>1002.85*(KONSTNAVT)</f>
        <v>1002.85</v>
      </c>
      <c r="K68" s="442"/>
      <c r="L68" s="482"/>
      <c r="M68" s="482"/>
      <c r="N68" s="482"/>
      <c r="O68" s="482"/>
      <c r="P68" s="482"/>
      <c r="Q68" s="482"/>
      <c r="R68" s="482"/>
      <c r="S68" s="482"/>
      <c r="T68" s="482"/>
      <c r="U68" s="482"/>
    </row>
    <row r="69" spans="1:21" ht="15" x14ac:dyDescent="0.25">
      <c r="A69" s="416">
        <v>1300</v>
      </c>
      <c r="B69" s="337">
        <f>634.45*(KONSTNAVT)</f>
        <v>634.45000000000005</v>
      </c>
      <c r="C69" s="309">
        <f>724.74*(KONSTNAVT)</f>
        <v>724.74</v>
      </c>
      <c r="D69" s="421">
        <f>867.7*(KONSTNAVT)</f>
        <v>867.7</v>
      </c>
      <c r="E69" s="443"/>
      <c r="F69" s="429"/>
      <c r="G69" s="416">
        <v>1300</v>
      </c>
      <c r="H69" s="337">
        <f>745.77*(KONSTNAVT)</f>
        <v>745.77</v>
      </c>
      <c r="I69" s="309">
        <f>868.49*(KONSTNAVT)</f>
        <v>868.49</v>
      </c>
      <c r="J69" s="421">
        <f>1057.58*(KONSTNAVT)</f>
        <v>1057.58</v>
      </c>
      <c r="K69" s="442"/>
      <c r="L69" s="482"/>
      <c r="M69" s="482"/>
      <c r="N69" s="482"/>
      <c r="O69" s="482"/>
      <c r="P69" s="482"/>
      <c r="Q69" s="482"/>
      <c r="R69" s="482"/>
      <c r="S69" s="482"/>
      <c r="T69" s="482"/>
      <c r="U69" s="482"/>
    </row>
    <row r="70" spans="1:21" ht="15" x14ac:dyDescent="0.25">
      <c r="A70" s="416">
        <v>1400</v>
      </c>
      <c r="B70" s="337">
        <f>664.82*(KONSTNAVT)</f>
        <v>664.82</v>
      </c>
      <c r="C70" s="309">
        <f>759.78*(KONSTNAVT)</f>
        <v>759.78</v>
      </c>
      <c r="D70" s="421">
        <f>910.77*(KONSTNAVT)</f>
        <v>910.77</v>
      </c>
      <c r="E70" s="443"/>
      <c r="F70" s="429"/>
      <c r="G70" s="416">
        <v>1400</v>
      </c>
      <c r="H70" s="337">
        <f>782.08*(KONSTNAVT)</f>
        <v>782.08</v>
      </c>
      <c r="I70" s="309">
        <f>911.78*(KONSTNAVT)</f>
        <v>911.78</v>
      </c>
      <c r="J70" s="421">
        <f>1111.82*(KONSTNAVT)</f>
        <v>1111.82</v>
      </c>
      <c r="K70" s="442"/>
      <c r="L70" s="482"/>
      <c r="M70" s="482"/>
      <c r="N70" s="482"/>
      <c r="O70" s="482"/>
      <c r="P70" s="482"/>
      <c r="Q70" s="482"/>
      <c r="R70" s="482"/>
      <c r="S70" s="482"/>
      <c r="T70" s="482"/>
      <c r="U70" s="482"/>
    </row>
    <row r="71" spans="1:21" ht="15" x14ac:dyDescent="0.25">
      <c r="A71" s="416">
        <v>1600</v>
      </c>
      <c r="B71" s="337">
        <f>725.26*(KONSTNAVT)</f>
        <v>725.26</v>
      </c>
      <c r="C71" s="309">
        <f>829.56*(KONSTNAVT)</f>
        <v>829.56</v>
      </c>
      <c r="D71" s="421">
        <f>998.45*(KONSTNAVT)</f>
        <v>998.45</v>
      </c>
      <c r="E71" s="443"/>
      <c r="F71" s="429"/>
      <c r="G71" s="416">
        <v>1600</v>
      </c>
      <c r="H71" s="337">
        <f>857.06*(KONSTNAVT)</f>
        <v>857.06</v>
      </c>
      <c r="I71" s="309">
        <f>999.75*(KONSTNAVT)</f>
        <v>999.75</v>
      </c>
      <c r="J71" s="421">
        <f>1221.31*(KONSTNAVT)</f>
        <v>1221.31</v>
      </c>
      <c r="K71" s="442"/>
      <c r="L71" s="482"/>
      <c r="M71" s="482"/>
      <c r="N71" s="482"/>
      <c r="O71" s="482"/>
      <c r="P71" s="482"/>
      <c r="Q71" s="482"/>
      <c r="R71" s="482"/>
      <c r="S71" s="482"/>
      <c r="T71" s="482"/>
      <c r="U71" s="482"/>
    </row>
    <row r="72" spans="1:21" ht="15" x14ac:dyDescent="0.25">
      <c r="A72" s="417">
        <v>1800</v>
      </c>
      <c r="B72" s="337">
        <f>786.23*(KONSTNAVT)</f>
        <v>786.23</v>
      </c>
      <c r="C72" s="309">
        <f>899.34*(KONSTNAVT)</f>
        <v>899.34</v>
      </c>
      <c r="D72" s="421">
        <f>1086.38*(KONSTNAVT)</f>
        <v>1086.3800000000001</v>
      </c>
      <c r="E72" s="443"/>
      <c r="G72" s="417">
        <v>1800</v>
      </c>
      <c r="H72" s="337">
        <f>930.46*(KONSTNAVT)</f>
        <v>930.46</v>
      </c>
      <c r="I72" s="309">
        <f>1087.17*(KONSTNAVT)</f>
        <v>1087.17</v>
      </c>
      <c r="J72" s="421">
        <f>1330.76*(KONSTNAVT)</f>
        <v>1330.76</v>
      </c>
      <c r="K72" s="442"/>
      <c r="L72" s="482"/>
      <c r="M72" s="482"/>
      <c r="N72" s="482"/>
      <c r="O72" s="482"/>
      <c r="P72" s="482"/>
      <c r="Q72" s="482"/>
      <c r="R72" s="482"/>
      <c r="S72" s="482"/>
      <c r="T72" s="482"/>
      <c r="U72" s="482"/>
    </row>
    <row r="73" spans="1:21" ht="15" x14ac:dyDescent="0.25">
      <c r="A73" s="417">
        <v>2000</v>
      </c>
      <c r="B73" s="337">
        <f>846.67*(KONSTNAVT)</f>
        <v>846.67</v>
      </c>
      <c r="C73" s="309">
        <f>968.86*(KONSTNAVT)</f>
        <v>968.86</v>
      </c>
      <c r="D73" s="421">
        <f>1173.31*(KONSTNAVT)</f>
        <v>1173.31</v>
      </c>
      <c r="E73" s="443"/>
      <c r="G73" s="417">
        <v>2000</v>
      </c>
      <c r="H73" s="337">
        <f>1005.21*(KONSTNAVT)</f>
        <v>1005.21</v>
      </c>
      <c r="I73" s="309">
        <f>1174.09*(KONSTNAVT)</f>
        <v>1174.0899999999999</v>
      </c>
      <c r="J73" s="421">
        <f>1439.99*(KONSTNAVT)</f>
        <v>1439.99</v>
      </c>
      <c r="K73" s="442"/>
      <c r="L73" s="482"/>
      <c r="M73" s="482"/>
      <c r="N73" s="482"/>
      <c r="O73" s="482"/>
      <c r="P73" s="482"/>
      <c r="Q73" s="482"/>
      <c r="R73" s="482"/>
      <c r="S73" s="482"/>
      <c r="T73" s="482"/>
      <c r="U73" s="482"/>
    </row>
    <row r="74" spans="1:21" ht="15" x14ac:dyDescent="0.25">
      <c r="A74" s="417">
        <v>2200</v>
      </c>
      <c r="B74" s="337">
        <f>907.9*(KONSTNAVT)</f>
        <v>907.9</v>
      </c>
      <c r="C74" s="309">
        <f>1039.16*(KONSTNAVT)</f>
        <v>1039.1600000000001</v>
      </c>
      <c r="D74" s="421">
        <f>1260.72*(KONSTNAVT)</f>
        <v>1260.72</v>
      </c>
      <c r="E74" s="443"/>
      <c r="G74" s="417">
        <v>2200</v>
      </c>
      <c r="H74" s="337">
        <f>1079.4*(KONSTNAVT)</f>
        <v>1079.4000000000001</v>
      </c>
      <c r="I74" s="309">
        <f>1261.51*(KONSTNAVT)</f>
        <v>1261.51</v>
      </c>
      <c r="J74" s="421">
        <f>1548.96*(KONSTNAVT)</f>
        <v>1548.96</v>
      </c>
      <c r="K74" s="442"/>
      <c r="L74" s="482"/>
      <c r="M74" s="482"/>
      <c r="N74" s="482"/>
      <c r="O74" s="482"/>
      <c r="P74" s="482"/>
      <c r="Q74" s="482"/>
      <c r="R74" s="482"/>
      <c r="S74" s="482"/>
      <c r="T74" s="482"/>
      <c r="U74" s="482"/>
    </row>
    <row r="75" spans="1:21" ht="15" x14ac:dyDescent="0.25">
      <c r="A75" s="417">
        <v>2400</v>
      </c>
      <c r="B75" s="337">
        <f>968.08*(KONSTNAVT)</f>
        <v>968.08</v>
      </c>
      <c r="C75" s="309">
        <f>1108.98*(KONSTNAVT)</f>
        <v>1108.98</v>
      </c>
      <c r="D75" s="421">
        <f>1347.65*(KONSTNAVT)</f>
        <v>1347.65</v>
      </c>
      <c r="E75" s="443"/>
      <c r="G75" s="417">
        <v>2400</v>
      </c>
      <c r="H75" s="337">
        <f>1153.32*(KONSTNAVT)</f>
        <v>1153.32</v>
      </c>
      <c r="I75" s="309">
        <f>1348.43*(KONSTNAVT)</f>
        <v>1348.43</v>
      </c>
      <c r="J75" s="421">
        <f>1658.71*(KONSTNAVT)</f>
        <v>1658.71</v>
      </c>
      <c r="K75" s="442"/>
      <c r="L75" s="482"/>
      <c r="M75" s="482"/>
      <c r="N75" s="482"/>
      <c r="O75" s="482"/>
      <c r="P75" s="482"/>
      <c r="Q75" s="482"/>
      <c r="R75" s="482"/>
      <c r="S75" s="482"/>
      <c r="T75" s="482"/>
      <c r="U75" s="482"/>
    </row>
    <row r="76" spans="1:21" ht="15" x14ac:dyDescent="0.25">
      <c r="A76" s="417">
        <v>2600</v>
      </c>
      <c r="B76" s="337">
        <f>1080.93*(KONSTNAVT)</f>
        <v>1080.93</v>
      </c>
      <c r="C76" s="309">
        <f>1237.64*(KONSTNAVT)</f>
        <v>1237.6400000000001</v>
      </c>
      <c r="D76" s="421">
        <f>1507.46*(KONSTNAVT)</f>
        <v>1507.46</v>
      </c>
      <c r="E76" s="443"/>
      <c r="G76" s="417">
        <v>2600</v>
      </c>
      <c r="H76" s="337">
        <f>1289*(KONSTNAVT)</f>
        <v>1289</v>
      </c>
      <c r="I76" s="309">
        <f>1507.98*(KONSTNAVT)</f>
        <v>1507.98</v>
      </c>
      <c r="J76" s="421">
        <f>1856.14*(KONSTNAVT)</f>
        <v>1856.14</v>
      </c>
      <c r="K76" s="442"/>
      <c r="L76" s="482"/>
      <c r="M76" s="482"/>
      <c r="N76" s="482"/>
      <c r="O76" s="482"/>
      <c r="P76" s="482"/>
      <c r="Q76" s="482"/>
      <c r="R76" s="482"/>
      <c r="S76" s="482"/>
      <c r="T76" s="482"/>
      <c r="U76" s="482"/>
    </row>
    <row r="77" spans="1:21" ht="15" x14ac:dyDescent="0.25">
      <c r="A77" s="417">
        <v>2800</v>
      </c>
      <c r="B77" s="337">
        <f>1144.51*(KONSTNAVT)</f>
        <v>1144.51</v>
      </c>
      <c r="C77" s="309">
        <f>1311.34*(KONSTNAVT)</f>
        <v>1311.34</v>
      </c>
      <c r="D77" s="421">
        <f>1599.02*(KONSTNAVT)</f>
        <v>1599.02</v>
      </c>
      <c r="E77" s="443"/>
      <c r="G77" s="417">
        <v>2800</v>
      </c>
      <c r="H77" s="337">
        <f>1367.11*(KONSTNAVT)</f>
        <v>1367.11</v>
      </c>
      <c r="I77" s="309">
        <f>1600.06*(KONSTNAVT)</f>
        <v>1600.06</v>
      </c>
      <c r="J77" s="421">
        <f>1970.78*(KONSTNAVT)</f>
        <v>1970.78</v>
      </c>
      <c r="K77" s="442"/>
      <c r="L77" s="482"/>
      <c r="M77" s="482"/>
      <c r="N77" s="482"/>
      <c r="O77" s="482"/>
      <c r="P77" s="482"/>
      <c r="Q77" s="482"/>
      <c r="R77" s="482"/>
      <c r="S77" s="482"/>
      <c r="T77" s="482"/>
      <c r="U77" s="482"/>
    </row>
    <row r="78" spans="1:21" ht="15.75" thickBot="1" x14ac:dyDescent="0.3">
      <c r="A78" s="417">
        <v>3000</v>
      </c>
      <c r="B78" s="337">
        <f>1208.31*(KONSTNAVT)</f>
        <v>1208.31</v>
      </c>
      <c r="C78" s="309">
        <f>1384.22*(KONSTNAVT)</f>
        <v>1384.22</v>
      </c>
      <c r="D78" s="421">
        <f>1690.61*(KONSTNAVT)</f>
        <v>1690.61</v>
      </c>
      <c r="E78" s="443"/>
      <c r="G78" s="434">
        <v>3000</v>
      </c>
      <c r="H78" s="435">
        <f>1444.92*(KONSTNAVT)</f>
        <v>1444.92</v>
      </c>
      <c r="I78" s="436">
        <f>1691.66*(KONSTNAVT)</f>
        <v>1691.66</v>
      </c>
      <c r="J78" s="437">
        <f>2085.73*(KONSTNAVT)</f>
        <v>2085.73</v>
      </c>
      <c r="K78" s="442"/>
      <c r="L78" s="482"/>
      <c r="M78" s="482"/>
      <c r="N78" s="482"/>
      <c r="O78" s="482"/>
      <c r="P78" s="482"/>
      <c r="Q78" s="482"/>
      <c r="R78" s="482"/>
      <c r="S78" s="482"/>
      <c r="T78" s="482"/>
      <c r="U78" s="482"/>
    </row>
    <row r="79" spans="1:21" ht="15.75" thickBot="1" x14ac:dyDescent="0.3">
      <c r="A79" s="417">
        <v>3200</v>
      </c>
      <c r="B79" s="337">
        <f>1271.37*(KONSTNAVT)</f>
        <v>1271.3699999999999</v>
      </c>
      <c r="C79" s="309">
        <f>1457.89*(KONSTNAVT)</f>
        <v>1457.89</v>
      </c>
      <c r="D79" s="421">
        <f>1782.43*(KONSTNAVT)</f>
        <v>1782.43</v>
      </c>
      <c r="E79" s="443"/>
      <c r="G79" s="438"/>
      <c r="H79" s="439"/>
      <c r="I79" s="439"/>
      <c r="J79" s="439"/>
      <c r="K79" s="97"/>
      <c r="L79" s="482"/>
      <c r="M79" s="482"/>
      <c r="N79" s="482"/>
      <c r="O79" s="482"/>
      <c r="P79" s="482"/>
      <c r="Q79" s="482"/>
      <c r="R79" s="482"/>
      <c r="S79" s="482"/>
      <c r="T79" s="482"/>
      <c r="U79" s="482"/>
    </row>
    <row r="80" spans="1:21" ht="15.75" thickBot="1" x14ac:dyDescent="0.3">
      <c r="A80" s="417">
        <v>3400</v>
      </c>
      <c r="B80" s="337">
        <f>1335.43*(KONSTNAVT)</f>
        <v>1335.43</v>
      </c>
      <c r="C80" s="309">
        <f>1531.07*(KONSTNAVT)</f>
        <v>1531.07</v>
      </c>
      <c r="D80" s="421">
        <f>1874.03*(KONSTNAVT)</f>
        <v>1874.03</v>
      </c>
      <c r="E80" s="443"/>
      <c r="F80" s="478" t="s">
        <v>175</v>
      </c>
      <c r="G80" s="479"/>
      <c r="H80" s="479"/>
      <c r="I80" s="479"/>
      <c r="J80" s="480"/>
      <c r="K80" s="97"/>
      <c r="L80" s="482"/>
      <c r="M80" s="482"/>
      <c r="N80" s="482"/>
      <c r="O80" s="482"/>
      <c r="P80" s="482"/>
      <c r="Q80" s="482"/>
      <c r="R80" s="482"/>
      <c r="S80" s="482"/>
      <c r="T80" s="482"/>
      <c r="U80" s="482"/>
    </row>
    <row r="81" spans="1:21" ht="15" x14ac:dyDescent="0.25">
      <c r="A81" s="417">
        <v>3600</v>
      </c>
      <c r="B81" s="337">
        <f>1399.28*(KONSTNAVT)</f>
        <v>1399.28</v>
      </c>
      <c r="C81" s="309">
        <f>1604.21*(KONSTNAVT)</f>
        <v>1604.21</v>
      </c>
      <c r="D81" s="421">
        <f>1965.59*(KONSTNAVT)</f>
        <v>1965.59</v>
      </c>
      <c r="E81" s="443"/>
      <c r="F81" s="467" t="s">
        <v>259</v>
      </c>
      <c r="G81" s="97"/>
      <c r="H81" s="97"/>
      <c r="I81" s="97"/>
      <c r="J81" s="477"/>
      <c r="K81" s="452"/>
      <c r="L81" s="482"/>
      <c r="M81" s="482"/>
      <c r="N81" s="482"/>
      <c r="O81" s="482"/>
      <c r="P81" s="482"/>
      <c r="Q81" s="482"/>
      <c r="R81" s="482"/>
      <c r="S81" s="482"/>
      <c r="T81" s="482"/>
      <c r="U81" s="482"/>
    </row>
    <row r="82" spans="1:21" ht="15" x14ac:dyDescent="0.25">
      <c r="A82" s="417">
        <v>3800</v>
      </c>
      <c r="B82" s="337">
        <f>1462.56*(KONSTNAVT)</f>
        <v>1462.56</v>
      </c>
      <c r="C82" s="309">
        <f>1678.17*(KONSTNAVT)</f>
        <v>1678.17</v>
      </c>
      <c r="D82" s="421">
        <f>2057.71*(KONSTNAVT)</f>
        <v>2057.71</v>
      </c>
      <c r="E82" s="443"/>
      <c r="F82" s="475" t="s">
        <v>262</v>
      </c>
      <c r="G82" s="476"/>
      <c r="H82" s="476"/>
      <c r="I82" s="476"/>
      <c r="J82" s="431">
        <f>16.1*(KONSTNAVT)</f>
        <v>16.100000000000001</v>
      </c>
      <c r="K82" s="61"/>
      <c r="L82" s="482"/>
      <c r="M82" s="482"/>
      <c r="N82" s="482"/>
      <c r="O82" s="482"/>
      <c r="P82" s="482"/>
      <c r="Q82" s="482"/>
      <c r="R82" s="482"/>
      <c r="S82" s="482"/>
      <c r="T82" s="482"/>
      <c r="U82" s="482"/>
    </row>
    <row r="83" spans="1:21" ht="15.75" thickBot="1" x14ac:dyDescent="0.3">
      <c r="A83" s="418">
        <v>4000</v>
      </c>
      <c r="B83" s="339">
        <f>1526.66*(KONSTNAVT)</f>
        <v>1526.66</v>
      </c>
      <c r="C83" s="340">
        <f>1751.32*(KONSTNAVT)</f>
        <v>1751.32</v>
      </c>
      <c r="D83" s="422">
        <f>2149.53*(KONSTNAVT)</f>
        <v>2149.5300000000002</v>
      </c>
      <c r="E83" s="443"/>
      <c r="F83" s="472" t="s">
        <v>260</v>
      </c>
      <c r="G83" s="473"/>
      <c r="H83" s="473"/>
      <c r="I83" s="473"/>
      <c r="J83" s="448"/>
      <c r="K83" s="444"/>
      <c r="L83" s="482"/>
      <c r="M83" s="482"/>
      <c r="N83" s="482"/>
      <c r="O83" s="482"/>
      <c r="P83" s="482"/>
      <c r="Q83" s="482"/>
      <c r="R83" s="482"/>
      <c r="S83" s="482"/>
      <c r="T83" s="482"/>
      <c r="U83" s="482"/>
    </row>
    <row r="84" spans="1:21" x14ac:dyDescent="0.2">
      <c r="F84" s="475" t="s">
        <v>261</v>
      </c>
      <c r="G84" s="476"/>
      <c r="H84" s="476"/>
      <c r="I84" s="476"/>
      <c r="J84" s="431">
        <f>16.1*(KONSTNAVT)</f>
        <v>16.100000000000001</v>
      </c>
      <c r="K84" s="444"/>
      <c r="L84" s="482"/>
      <c r="M84" s="482"/>
      <c r="N84" s="482"/>
      <c r="O84" s="482"/>
      <c r="P84" s="482"/>
      <c r="Q84" s="482"/>
      <c r="R84" s="482"/>
      <c r="S84" s="482"/>
      <c r="T84" s="482"/>
      <c r="U84" s="482"/>
    </row>
    <row r="85" spans="1:21" x14ac:dyDescent="0.2">
      <c r="F85" s="468" t="s">
        <v>263</v>
      </c>
      <c r="G85" s="469"/>
      <c r="H85" s="469"/>
      <c r="I85" s="469"/>
      <c r="J85" s="432">
        <f>15.42*(KONSTNAVT)</f>
        <v>15.42</v>
      </c>
      <c r="K85" s="444"/>
      <c r="L85" s="482"/>
      <c r="M85" s="482"/>
      <c r="N85" s="482"/>
      <c r="O85" s="482"/>
      <c r="P85" s="482"/>
      <c r="Q85" s="482"/>
      <c r="R85" s="482"/>
      <c r="S85" s="482"/>
      <c r="T85" s="482"/>
      <c r="U85" s="482"/>
    </row>
    <row r="86" spans="1:21" x14ac:dyDescent="0.2">
      <c r="F86" s="559" t="s">
        <v>392</v>
      </c>
      <c r="G86" s="473"/>
      <c r="H86" s="473"/>
      <c r="I86" s="473"/>
      <c r="J86" s="474">
        <f>4.71*(KONSTNAVT)</f>
        <v>4.71</v>
      </c>
      <c r="K86" s="444"/>
      <c r="L86" s="482"/>
      <c r="M86" s="482"/>
      <c r="N86" s="482"/>
      <c r="O86" s="482"/>
      <c r="P86" s="482"/>
      <c r="Q86" s="482"/>
      <c r="R86" s="482"/>
      <c r="S86" s="482"/>
      <c r="T86" s="482"/>
      <c r="U86" s="482"/>
    </row>
    <row r="87" spans="1:21" x14ac:dyDescent="0.2">
      <c r="F87" s="560" t="s">
        <v>393</v>
      </c>
      <c r="G87" s="476"/>
      <c r="H87" s="476"/>
      <c r="I87" s="476"/>
      <c r="J87" s="428"/>
      <c r="K87" s="444"/>
      <c r="L87" s="482"/>
      <c r="M87" s="482"/>
      <c r="N87" s="482"/>
      <c r="O87" s="482"/>
      <c r="P87" s="482"/>
      <c r="Q87" s="482"/>
      <c r="R87" s="482"/>
      <c r="S87" s="482"/>
      <c r="T87" s="482"/>
      <c r="U87" s="482"/>
    </row>
    <row r="88" spans="1:21" x14ac:dyDescent="0.2">
      <c r="F88" s="468" t="s">
        <v>264</v>
      </c>
      <c r="G88" s="469"/>
      <c r="H88" s="469"/>
      <c r="I88" s="469"/>
      <c r="J88" s="432">
        <f>6.21*(KONSTNAVT)</f>
        <v>6.21</v>
      </c>
      <c r="K88" s="444"/>
      <c r="L88" s="482"/>
      <c r="M88" s="482"/>
      <c r="N88" s="482"/>
      <c r="O88" s="482"/>
      <c r="P88" s="482"/>
      <c r="Q88" s="482"/>
      <c r="R88" s="482"/>
      <c r="S88" s="482"/>
      <c r="T88" s="482"/>
      <c r="U88" s="482"/>
    </row>
    <row r="89" spans="1:21" ht="13.5" thickBot="1" x14ac:dyDescent="0.25">
      <c r="F89" s="470" t="s">
        <v>265</v>
      </c>
      <c r="G89" s="471"/>
      <c r="H89" s="471"/>
      <c r="I89" s="471"/>
      <c r="J89" s="433">
        <f>5.63*(KONSTNAVT)</f>
        <v>5.63</v>
      </c>
      <c r="K89" s="444"/>
      <c r="L89" s="482"/>
      <c r="M89" s="482"/>
      <c r="N89" s="482"/>
      <c r="O89" s="482"/>
      <c r="P89" s="482"/>
      <c r="Q89" s="482"/>
      <c r="R89" s="482"/>
      <c r="S89" s="482"/>
      <c r="T89" s="482"/>
      <c r="U89" s="482"/>
    </row>
    <row r="90" spans="1:21" ht="15" x14ac:dyDescent="0.25">
      <c r="G90" s="73"/>
      <c r="H90" s="430"/>
      <c r="I90" s="430"/>
      <c r="J90" s="430"/>
      <c r="K90" s="444"/>
    </row>
    <row r="91" spans="1:21" ht="15" x14ac:dyDescent="0.25">
      <c r="G91" s="73"/>
      <c r="H91" s="430"/>
      <c r="I91" s="430"/>
      <c r="J91" s="430"/>
      <c r="K91" s="444"/>
    </row>
    <row r="92" spans="1:21" ht="15" x14ac:dyDescent="0.25">
      <c r="G92" s="73"/>
      <c r="H92" s="430"/>
      <c r="I92" s="430"/>
      <c r="J92" s="430"/>
      <c r="K92" s="444"/>
    </row>
    <row r="93" spans="1:21" ht="15" x14ac:dyDescent="0.25">
      <c r="G93" s="73"/>
      <c r="H93" s="430"/>
      <c r="I93" s="430"/>
      <c r="J93" s="430"/>
      <c r="K93" s="444"/>
    </row>
    <row r="94" spans="1:21" ht="15" x14ac:dyDescent="0.25">
      <c r="G94" s="73"/>
      <c r="H94" s="430"/>
      <c r="I94" s="430"/>
      <c r="J94" s="430"/>
      <c r="K94" s="444"/>
    </row>
    <row r="95" spans="1:21" ht="15" x14ac:dyDescent="0.25">
      <c r="G95" s="73"/>
      <c r="H95" s="430"/>
      <c r="I95" s="430"/>
      <c r="J95" s="430"/>
      <c r="K95" s="444"/>
    </row>
    <row r="96" spans="1:21" ht="15" x14ac:dyDescent="0.25">
      <c r="G96" s="73"/>
      <c r="H96" s="430"/>
      <c r="I96" s="430"/>
      <c r="J96" s="430"/>
      <c r="K96" s="444"/>
    </row>
  </sheetData>
  <mergeCells count="10">
    <mergeCell ref="A59:A60"/>
    <mergeCell ref="F59:F60"/>
    <mergeCell ref="G59:G60"/>
    <mergeCell ref="D2:E2"/>
    <mergeCell ref="A7:A8"/>
    <mergeCell ref="G7:G8"/>
    <mergeCell ref="B7:C7"/>
    <mergeCell ref="A33:A34"/>
    <mergeCell ref="F33:F34"/>
    <mergeCell ref="G33:G3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>
      <selection activeCell="C5" sqref="C5"/>
    </sheetView>
  </sheetViews>
  <sheetFormatPr defaultRowHeight="12.75" x14ac:dyDescent="0.2"/>
  <cols>
    <col min="6" max="6" width="1.85546875" customWidth="1"/>
  </cols>
  <sheetData>
    <row r="1" spans="1:25" ht="19.5" x14ac:dyDescent="0.25">
      <c r="A1" s="44"/>
      <c r="B1" s="44"/>
      <c r="C1" s="44"/>
      <c r="D1" s="45"/>
      <c r="E1" s="449" t="s">
        <v>258</v>
      </c>
      <c r="F1" s="44"/>
      <c r="G1" s="47"/>
      <c r="H1" s="449"/>
      <c r="I1" s="449"/>
      <c r="J1" s="449"/>
      <c r="K1" s="449"/>
    </row>
    <row r="2" spans="1:25" ht="15" x14ac:dyDescent="0.2">
      <c r="A2" s="48" t="s">
        <v>171</v>
      </c>
      <c r="B2" s="49"/>
      <c r="C2" s="49"/>
      <c r="D2" s="715" t="s">
        <v>416</v>
      </c>
      <c r="E2" s="716"/>
      <c r="F2" s="49"/>
      <c r="G2" s="49"/>
    </row>
    <row r="3" spans="1:25" x14ac:dyDescent="0.2">
      <c r="A3" s="49"/>
      <c r="B3" s="49"/>
      <c r="C3" s="49"/>
      <c r="D3" s="50"/>
      <c r="E3" s="50"/>
      <c r="F3" s="49"/>
      <c r="G3" s="49"/>
      <c r="H3" s="51"/>
      <c r="I3" s="52"/>
    </row>
    <row r="4" spans="1:25" x14ac:dyDescent="0.2">
      <c r="A4" s="49"/>
      <c r="B4" s="49"/>
      <c r="C4" s="49"/>
      <c r="D4" s="50"/>
      <c r="E4" s="50"/>
      <c r="F4" s="49"/>
      <c r="G4" s="49"/>
      <c r="H4" s="51"/>
      <c r="I4" s="52"/>
    </row>
    <row r="5" spans="1:25" x14ac:dyDescent="0.2">
      <c r="A5" s="10"/>
      <c r="B5" s="53" t="s">
        <v>172</v>
      </c>
      <c r="C5" s="74">
        <v>0</v>
      </c>
      <c r="D5" s="106"/>
      <c r="E5" s="50"/>
      <c r="F5" s="10"/>
      <c r="G5" s="10"/>
      <c r="H5" s="51"/>
      <c r="I5" s="52"/>
    </row>
    <row r="6" spans="1:25" ht="13.5" thickBot="1" x14ac:dyDescent="0.25">
      <c r="A6" s="447">
        <f>1-C5</f>
        <v>1</v>
      </c>
      <c r="B6" s="49"/>
      <c r="C6" s="49"/>
      <c r="D6" s="424"/>
      <c r="E6" s="49"/>
      <c r="F6" s="269" t="s">
        <v>257</v>
      </c>
      <c r="G6" s="49"/>
      <c r="H6" s="49"/>
      <c r="I6" s="49"/>
    </row>
    <row r="7" spans="1:25" x14ac:dyDescent="0.2">
      <c r="A7" s="755" t="s">
        <v>252</v>
      </c>
      <c r="B7" s="757" t="s">
        <v>174</v>
      </c>
      <c r="C7" s="757"/>
      <c r="D7" s="757"/>
      <c r="E7" s="758"/>
      <c r="G7" s="755" t="s">
        <v>253</v>
      </c>
      <c r="H7" s="757" t="s">
        <v>174</v>
      </c>
      <c r="I7" s="757"/>
      <c r="J7" s="757"/>
      <c r="K7" s="758"/>
    </row>
    <row r="8" spans="1:25" ht="13.5" thickBot="1" x14ac:dyDescent="0.25">
      <c r="A8" s="756"/>
      <c r="B8" s="457">
        <v>1600</v>
      </c>
      <c r="C8" s="457">
        <v>1800</v>
      </c>
      <c r="D8" s="457">
        <v>2000</v>
      </c>
      <c r="E8" s="458">
        <v>2200</v>
      </c>
      <c r="G8" s="756"/>
      <c r="H8" s="457">
        <v>1600</v>
      </c>
      <c r="I8" s="457">
        <v>1800</v>
      </c>
      <c r="J8" s="457">
        <v>2000</v>
      </c>
      <c r="K8" s="458">
        <v>2200</v>
      </c>
    </row>
    <row r="9" spans="1:25" ht="15" x14ac:dyDescent="0.25">
      <c r="A9" s="417">
        <v>142</v>
      </c>
      <c r="B9" s="459">
        <f>157.67*(DISNARVE)</f>
        <v>157.66999999999999</v>
      </c>
      <c r="C9" s="460">
        <f>165.32*(DISNARVE)</f>
        <v>165.32</v>
      </c>
      <c r="D9" s="460">
        <f>172.17*(DISNARVE)</f>
        <v>172.17</v>
      </c>
      <c r="E9" s="461">
        <f>181.1*(DISNARVE)</f>
        <v>181.1</v>
      </c>
      <c r="G9" s="417">
        <v>142</v>
      </c>
      <c r="H9" s="459">
        <f>232.42*(DISNARVE)</f>
        <v>232.42</v>
      </c>
      <c r="I9" s="460">
        <f>245.21*(DISNARVE)</f>
        <v>245.21</v>
      </c>
      <c r="J9" s="460">
        <f>256.38*(DISNARVE)</f>
        <v>256.38</v>
      </c>
      <c r="K9" s="461">
        <f>272.35*(DISNARVE)</f>
        <v>272.35000000000002</v>
      </c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</row>
    <row r="10" spans="1:25" ht="15" x14ac:dyDescent="0.25">
      <c r="A10" s="417">
        <v>214</v>
      </c>
      <c r="B10" s="462">
        <f>191.73*(DISNARVE)</f>
        <v>191.73</v>
      </c>
      <c r="C10" s="455">
        <f>201.99*(DISNARVE)</f>
        <v>201.99</v>
      </c>
      <c r="D10" s="455">
        <f>211.57*(DISNARVE)</f>
        <v>211.57</v>
      </c>
      <c r="E10" s="453">
        <f>223.41*(DISNARVE)</f>
        <v>223.41</v>
      </c>
      <c r="G10" s="417">
        <v>214</v>
      </c>
      <c r="H10" s="462">
        <f>281.77*(DISNARVE)</f>
        <v>281.77</v>
      </c>
      <c r="I10" s="455">
        <f>299.79*(DISNARVE)</f>
        <v>299.79000000000002</v>
      </c>
      <c r="J10" s="455">
        <f>316.14*(DISNARVE)</f>
        <v>316.14</v>
      </c>
      <c r="K10" s="453">
        <f>337.37*(DISNARVE)</f>
        <v>337.37</v>
      </c>
      <c r="M10" s="482"/>
      <c r="N10" s="482"/>
      <c r="O10" s="482"/>
      <c r="P10" s="482"/>
      <c r="Q10" s="482"/>
      <c r="R10" s="482"/>
      <c r="S10" s="482"/>
      <c r="T10" s="482"/>
      <c r="U10" s="482"/>
      <c r="V10" s="482"/>
    </row>
    <row r="11" spans="1:25" ht="15" x14ac:dyDescent="0.25">
      <c r="A11" s="417">
        <v>286</v>
      </c>
      <c r="B11" s="462">
        <f>225.84*(DISNARVE)</f>
        <v>225.84</v>
      </c>
      <c r="C11" s="455">
        <f>238.63*(DISNARVE)</f>
        <v>238.63</v>
      </c>
      <c r="D11" s="455">
        <f>251.08*(DISNARVE)</f>
        <v>251.08</v>
      </c>
      <c r="E11" s="453">
        <f>265.46*(DISNARVE)</f>
        <v>265.45999999999998</v>
      </c>
      <c r="G11" s="417">
        <v>286</v>
      </c>
      <c r="H11" s="462">
        <f>331.16*(DISNARVE)</f>
        <v>331.16</v>
      </c>
      <c r="I11" s="455">
        <f>354.36*(DISNARVE)</f>
        <v>354.36</v>
      </c>
      <c r="J11" s="455">
        <f>375.98*(DISNARVE)</f>
        <v>375.98</v>
      </c>
      <c r="K11" s="453">
        <f>402.58*(DISNARVE)</f>
        <v>402.58</v>
      </c>
      <c r="M11" s="482"/>
      <c r="N11" s="482"/>
      <c r="O11" s="482"/>
      <c r="P11" s="482"/>
      <c r="Q11" s="482"/>
      <c r="R11" s="482"/>
      <c r="S11" s="482"/>
      <c r="T11" s="482"/>
      <c r="U11" s="482"/>
      <c r="V11" s="482"/>
    </row>
    <row r="12" spans="1:25" ht="15" x14ac:dyDescent="0.25">
      <c r="A12" s="417">
        <v>358</v>
      </c>
      <c r="B12" s="462">
        <f>259.9*(DISNARVE)</f>
        <v>259.89999999999998</v>
      </c>
      <c r="C12" s="455">
        <f>275.3*(DISNARVE)</f>
        <v>275.3</v>
      </c>
      <c r="D12" s="455">
        <f>290.44*(DISNARVE)</f>
        <v>290.44</v>
      </c>
      <c r="E12" s="453">
        <f>307.7*(DISNARVE)</f>
        <v>307.7</v>
      </c>
      <c r="G12" s="417">
        <v>358</v>
      </c>
      <c r="H12" s="462">
        <f>380.52*(DISNARVE)</f>
        <v>380.52</v>
      </c>
      <c r="I12" s="455">
        <f>408.87*(DISNARVE)</f>
        <v>408.87</v>
      </c>
      <c r="J12" s="455">
        <f>435.7*(DISNARVE)</f>
        <v>435.7</v>
      </c>
      <c r="K12" s="453">
        <f>467.57*(DISNARVE)</f>
        <v>467.57</v>
      </c>
      <c r="M12" s="482"/>
      <c r="N12" s="482"/>
      <c r="O12" s="482"/>
      <c r="P12" s="482"/>
      <c r="Q12" s="482"/>
      <c r="R12" s="482"/>
      <c r="S12" s="482"/>
      <c r="T12" s="482"/>
      <c r="U12" s="482"/>
      <c r="V12" s="482"/>
    </row>
    <row r="13" spans="1:25" ht="15" x14ac:dyDescent="0.25">
      <c r="A13" s="417">
        <v>430</v>
      </c>
      <c r="B13" s="462">
        <f>293.96*(DISNARVE)</f>
        <v>293.95999999999998</v>
      </c>
      <c r="C13" s="455">
        <f>312.09*(DISNARVE)</f>
        <v>312.08999999999997</v>
      </c>
      <c r="D13" s="455">
        <f>329.88*(DISNARVE)</f>
        <v>329.88</v>
      </c>
      <c r="E13" s="453">
        <f>349.97*(DISNARVE)</f>
        <v>349.97</v>
      </c>
      <c r="G13" s="417">
        <v>430</v>
      </c>
      <c r="H13" s="462">
        <f>429.87*(DISNARVE)</f>
        <v>429.87</v>
      </c>
      <c r="I13" s="455">
        <f>463.29*(DISNARVE)</f>
        <v>463.29</v>
      </c>
      <c r="J13" s="455">
        <f>495.46*(DISNARVE)</f>
        <v>495.46</v>
      </c>
      <c r="K13" s="453">
        <f>532.59*(DISNARVE)</f>
        <v>532.59</v>
      </c>
      <c r="M13" s="482"/>
      <c r="N13" s="482"/>
      <c r="O13" s="482"/>
      <c r="P13" s="482"/>
      <c r="Q13" s="482"/>
      <c r="R13" s="482"/>
      <c r="S13" s="482"/>
      <c r="T13" s="482"/>
      <c r="U13" s="482"/>
      <c r="V13" s="482"/>
    </row>
    <row r="14" spans="1:25" ht="15" x14ac:dyDescent="0.25">
      <c r="A14" s="417">
        <v>502</v>
      </c>
      <c r="B14" s="462">
        <f>327.91*(DISNARVE)</f>
        <v>327.91</v>
      </c>
      <c r="C14" s="455">
        <f>348.73*(DISNARVE)</f>
        <v>348.73</v>
      </c>
      <c r="D14" s="455">
        <f>369.24*(DISNARVE)</f>
        <v>369.24</v>
      </c>
      <c r="E14" s="453">
        <f>392.17*(DISNARVE)</f>
        <v>392.17</v>
      </c>
      <c r="G14" s="417">
        <v>502</v>
      </c>
      <c r="H14" s="462">
        <f>479.19*(DISNARVE)</f>
        <v>479.19</v>
      </c>
      <c r="I14" s="455">
        <f>517.87*(DISNARVE)</f>
        <v>517.87</v>
      </c>
      <c r="J14" s="455">
        <f>555.15*(DISNARVE)</f>
        <v>555.15</v>
      </c>
      <c r="K14" s="453">
        <f>597.8*(DISNARVE)</f>
        <v>597.79999999999995</v>
      </c>
      <c r="M14" s="482"/>
      <c r="N14" s="482"/>
      <c r="O14" s="482"/>
      <c r="P14" s="482"/>
      <c r="Q14" s="482"/>
      <c r="R14" s="482"/>
      <c r="S14" s="482"/>
      <c r="T14" s="482"/>
      <c r="U14" s="482"/>
      <c r="V14" s="482"/>
    </row>
    <row r="15" spans="1:25" ht="15" x14ac:dyDescent="0.25">
      <c r="A15" s="417">
        <v>574</v>
      </c>
      <c r="B15" s="462">
        <f>361.93*(DISNARVE)</f>
        <v>361.93</v>
      </c>
      <c r="C15" s="455">
        <f>385.44*(DISNARVE)</f>
        <v>385.44</v>
      </c>
      <c r="D15" s="455">
        <f>408.68*(DISNARVE)</f>
        <v>408.68</v>
      </c>
      <c r="E15" s="453">
        <f>434.41*(DISNARVE)</f>
        <v>434.41</v>
      </c>
      <c r="G15" s="417">
        <v>574</v>
      </c>
      <c r="H15" s="462">
        <f>528.61*(DISNARVE)</f>
        <v>528.61</v>
      </c>
      <c r="I15" s="455">
        <f>572.37*(DISNARVE)</f>
        <v>572.37</v>
      </c>
      <c r="J15" s="455">
        <f>614.87*(DISNARVE)</f>
        <v>614.87</v>
      </c>
      <c r="K15" s="453">
        <f>662.78*(DISNARVE)</f>
        <v>662.78</v>
      </c>
      <c r="M15" s="482"/>
      <c r="N15" s="482"/>
      <c r="O15" s="482"/>
      <c r="P15" s="482"/>
      <c r="Q15" s="482"/>
      <c r="R15" s="482"/>
      <c r="S15" s="482"/>
      <c r="T15" s="482"/>
      <c r="U15" s="482"/>
      <c r="V15" s="482"/>
    </row>
    <row r="16" spans="1:25" ht="15" x14ac:dyDescent="0.25">
      <c r="A16" s="417">
        <v>646</v>
      </c>
      <c r="B16" s="462">
        <f>396.07*(DISNARVE)</f>
        <v>396.07</v>
      </c>
      <c r="C16" s="455">
        <f>422.07*(DISNARVE)</f>
        <v>422.07</v>
      </c>
      <c r="D16" s="455">
        <f>448.04*(DISNARVE)</f>
        <v>448.04</v>
      </c>
      <c r="E16" s="453">
        <f>476.65*(DISNARVE)</f>
        <v>476.65</v>
      </c>
      <c r="G16" s="417">
        <v>646</v>
      </c>
      <c r="H16" s="462">
        <f>578.01*(DISNARVE)</f>
        <v>578.01</v>
      </c>
      <c r="I16" s="455">
        <f>626.94*(DISNARVE)</f>
        <v>626.94000000000005</v>
      </c>
      <c r="J16" s="455">
        <f>674.63*(DISNARVE)</f>
        <v>674.63</v>
      </c>
      <c r="K16" s="453">
        <f>727.84*(DISNARVE)</f>
        <v>727.84</v>
      </c>
      <c r="M16" s="482"/>
      <c r="N16" s="482"/>
      <c r="O16" s="482"/>
      <c r="P16" s="482"/>
      <c r="Q16" s="482"/>
      <c r="R16" s="482"/>
      <c r="S16" s="482"/>
      <c r="T16" s="482"/>
      <c r="U16" s="482"/>
      <c r="V16" s="482"/>
    </row>
    <row r="17" spans="1:22" ht="15" x14ac:dyDescent="0.25">
      <c r="A17" s="417">
        <v>718</v>
      </c>
      <c r="B17" s="462">
        <f>430.14*(DISNARVE)</f>
        <v>430.14</v>
      </c>
      <c r="C17" s="455">
        <f>458.86*(DISNARVE)</f>
        <v>458.86</v>
      </c>
      <c r="D17" s="455">
        <f>487.4*(DISNARVE)</f>
        <v>487.4</v>
      </c>
      <c r="E17" s="453">
        <f>518.89*(DISNARVE)</f>
        <v>518.89</v>
      </c>
      <c r="G17" s="417">
        <v>718</v>
      </c>
      <c r="H17" s="462">
        <f>627.32*(DISNARVE)</f>
        <v>627.32000000000005</v>
      </c>
      <c r="I17" s="455">
        <f>681.44*(DISNARVE)</f>
        <v>681.44</v>
      </c>
      <c r="J17" s="455">
        <f>734.35*(DISNARVE)</f>
        <v>734.35</v>
      </c>
      <c r="K17" s="453">
        <f>793.05*(DISNARVE)</f>
        <v>793.05</v>
      </c>
      <c r="M17" s="482"/>
      <c r="N17" s="482"/>
      <c r="O17" s="482"/>
      <c r="P17" s="482"/>
      <c r="Q17" s="482"/>
      <c r="R17" s="482"/>
      <c r="S17" s="482"/>
      <c r="T17" s="482"/>
      <c r="U17" s="482"/>
      <c r="V17" s="482"/>
    </row>
    <row r="18" spans="1:22" ht="15" x14ac:dyDescent="0.25">
      <c r="A18" s="417">
        <v>790</v>
      </c>
      <c r="B18" s="462">
        <f>464.2*(DISNARVE)</f>
        <v>464.2</v>
      </c>
      <c r="C18" s="455">
        <f>495.57*(DISNARVE)</f>
        <v>495.57</v>
      </c>
      <c r="D18" s="455">
        <f>526.8*(DISNARVE)</f>
        <v>526.79999999999995</v>
      </c>
      <c r="E18" s="453">
        <f>561.13*(DISNARVE)</f>
        <v>561.13</v>
      </c>
      <c r="G18" s="417">
        <v>790</v>
      </c>
      <c r="H18" s="462">
        <f>676.71*(DISNARVE)</f>
        <v>676.71</v>
      </c>
      <c r="I18" s="455">
        <f>736.02*(DISNARVE)</f>
        <v>736.02</v>
      </c>
      <c r="J18" s="455">
        <f>794.08*(DISNARVE)</f>
        <v>794.08</v>
      </c>
      <c r="K18" s="453">
        <f>858.11*(DISNARVE)</f>
        <v>858.11</v>
      </c>
      <c r="M18" s="482"/>
      <c r="N18" s="482"/>
      <c r="O18" s="482"/>
      <c r="P18" s="482"/>
      <c r="Q18" s="482"/>
      <c r="R18" s="482"/>
      <c r="S18" s="482"/>
      <c r="T18" s="482"/>
      <c r="U18" s="482"/>
      <c r="V18" s="482"/>
    </row>
    <row r="19" spans="1:22" ht="15.75" thickBot="1" x14ac:dyDescent="0.3">
      <c r="A19" s="418">
        <v>862</v>
      </c>
      <c r="B19" s="463">
        <f>498.15*(DISNARVE)</f>
        <v>498.15</v>
      </c>
      <c r="C19" s="456">
        <f>532.25*(DISNARVE)</f>
        <v>532.25</v>
      </c>
      <c r="D19" s="456">
        <f>566.2*(DISNARVE)</f>
        <v>566.20000000000005</v>
      </c>
      <c r="E19" s="454">
        <f>603.21*(DISNARVE)</f>
        <v>603.21</v>
      </c>
      <c r="G19" s="418">
        <v>862</v>
      </c>
      <c r="H19" s="463">
        <f>726.18*(DISNARVE)</f>
        <v>726.18</v>
      </c>
      <c r="I19" s="456">
        <f>790.4*(DISNARVE)</f>
        <v>790.4</v>
      </c>
      <c r="J19" s="456">
        <f>853.8*(DISNARVE)</f>
        <v>853.8</v>
      </c>
      <c r="K19" s="454">
        <f>923.14*(DISNARVE)</f>
        <v>923.14</v>
      </c>
      <c r="M19" s="482"/>
      <c r="N19" s="482"/>
      <c r="O19" s="482"/>
      <c r="P19" s="482"/>
      <c r="Q19" s="482"/>
      <c r="R19" s="482"/>
      <c r="S19" s="482"/>
      <c r="T19" s="482"/>
      <c r="U19" s="482"/>
      <c r="V19" s="482"/>
    </row>
    <row r="20" spans="1:22" ht="5.25" customHeight="1" thickBot="1" x14ac:dyDescent="0.3">
      <c r="A20" s="412"/>
      <c r="B20" s="413"/>
      <c r="C20" s="413"/>
      <c r="D20" s="413"/>
      <c r="E20" s="62"/>
      <c r="G20" s="412"/>
      <c r="H20" s="413"/>
      <c r="I20" s="413"/>
      <c r="J20" s="413"/>
      <c r="K20" s="97"/>
      <c r="M20" s="482"/>
      <c r="N20" s="482"/>
      <c r="O20" s="482"/>
      <c r="P20" s="482"/>
      <c r="Q20" s="482"/>
      <c r="R20" s="482"/>
      <c r="S20" s="482"/>
      <c r="T20" s="482"/>
      <c r="U20" s="482"/>
      <c r="V20" s="482"/>
    </row>
    <row r="21" spans="1:22" x14ac:dyDescent="0.2">
      <c r="A21" s="755" t="s">
        <v>254</v>
      </c>
      <c r="B21" s="757" t="s">
        <v>174</v>
      </c>
      <c r="C21" s="757"/>
      <c r="D21" s="757"/>
      <c r="E21" s="758"/>
      <c r="G21" s="755" t="s">
        <v>255</v>
      </c>
      <c r="H21" s="757" t="s">
        <v>174</v>
      </c>
      <c r="I21" s="757"/>
      <c r="J21" s="757"/>
      <c r="K21" s="758"/>
      <c r="M21" s="482"/>
      <c r="N21" s="482"/>
      <c r="O21" s="482"/>
      <c r="P21" s="482"/>
      <c r="Q21" s="482"/>
      <c r="R21" s="482"/>
      <c r="S21" s="482"/>
      <c r="T21" s="482"/>
      <c r="U21" s="482"/>
      <c r="V21" s="482"/>
    </row>
    <row r="22" spans="1:22" ht="13.5" thickBot="1" x14ac:dyDescent="0.25">
      <c r="A22" s="756"/>
      <c r="B22" s="457">
        <v>1600</v>
      </c>
      <c r="C22" s="457">
        <v>1800</v>
      </c>
      <c r="D22" s="457">
        <v>2000</v>
      </c>
      <c r="E22" s="458">
        <v>2200</v>
      </c>
      <c r="G22" s="756"/>
      <c r="H22" s="457">
        <v>1600</v>
      </c>
      <c r="I22" s="457">
        <v>1800</v>
      </c>
      <c r="J22" s="457">
        <v>2000</v>
      </c>
      <c r="K22" s="458">
        <v>2200</v>
      </c>
      <c r="M22" s="482"/>
      <c r="N22" s="482"/>
      <c r="O22" s="482"/>
      <c r="P22" s="482"/>
      <c r="Q22" s="482"/>
      <c r="R22" s="482"/>
      <c r="S22" s="482"/>
      <c r="T22" s="482"/>
      <c r="U22" s="482"/>
      <c r="V22" s="482"/>
    </row>
    <row r="23" spans="1:22" ht="15" x14ac:dyDescent="0.25">
      <c r="A23" s="417">
        <v>142</v>
      </c>
      <c r="B23" s="459">
        <f>356.94*(DISNARVE)</f>
        <v>356.94</v>
      </c>
      <c r="C23" s="460">
        <f>372.49*(DISNARVE)</f>
        <v>372.49</v>
      </c>
      <c r="D23" s="460">
        <f>387.9*(DISNARVE)</f>
        <v>387.9</v>
      </c>
      <c r="E23" s="461">
        <f>404.36*(DISNARVE)</f>
        <v>404.36</v>
      </c>
      <c r="G23" s="417">
        <v>142</v>
      </c>
      <c r="H23" s="459">
        <f>516.05*(DISNARVE)</f>
        <v>516.04999999999995</v>
      </c>
      <c r="I23" s="460">
        <f>540.27*(DISNARVE)</f>
        <v>540.27</v>
      </c>
      <c r="J23" s="460">
        <f>564.49*(DISNARVE)</f>
        <v>564.49</v>
      </c>
      <c r="K23" s="461">
        <f>594.92*(DISNARVE)</f>
        <v>594.91999999999996</v>
      </c>
      <c r="M23" s="482"/>
      <c r="N23" s="482"/>
      <c r="O23" s="482"/>
      <c r="P23" s="482"/>
      <c r="Q23" s="482"/>
      <c r="R23" s="482"/>
      <c r="S23" s="482"/>
      <c r="T23" s="482"/>
      <c r="U23" s="482"/>
      <c r="V23" s="482"/>
    </row>
    <row r="24" spans="1:22" ht="15" x14ac:dyDescent="0.25">
      <c r="A24" s="417">
        <v>214</v>
      </c>
      <c r="B24" s="462">
        <f>425.06*(DISNARVE)</f>
        <v>425.06</v>
      </c>
      <c r="C24" s="455">
        <f>445.96*(DISNARVE)</f>
        <v>445.96</v>
      </c>
      <c r="D24" s="455">
        <f>466.7*(DISNARVE)</f>
        <v>466.7</v>
      </c>
      <c r="E24" s="453">
        <f>488.72*(DISNARVE)</f>
        <v>488.72</v>
      </c>
      <c r="G24" s="417">
        <v>214</v>
      </c>
      <c r="H24" s="462">
        <f>619.52*(DISNARVE)</f>
        <v>619.52</v>
      </c>
      <c r="I24" s="455">
        <f>654.12*(DISNARVE)</f>
        <v>654.12</v>
      </c>
      <c r="J24" s="455">
        <f>688.75*(DISNARVE)</f>
        <v>688.75</v>
      </c>
      <c r="K24" s="453">
        <f>729.92*(DISNARVE)</f>
        <v>729.92</v>
      </c>
      <c r="M24" s="482"/>
      <c r="N24" s="482"/>
      <c r="O24" s="482"/>
      <c r="P24" s="482"/>
      <c r="Q24" s="482"/>
      <c r="R24" s="482"/>
      <c r="S24" s="482"/>
      <c r="T24" s="482"/>
      <c r="U24" s="482"/>
      <c r="V24" s="482"/>
    </row>
    <row r="25" spans="1:22" ht="15" x14ac:dyDescent="0.25">
      <c r="A25" s="417">
        <v>286</v>
      </c>
      <c r="B25" s="462">
        <f>493.26*(DISNARVE)</f>
        <v>493.26</v>
      </c>
      <c r="C25" s="455">
        <f>519.38*(DISNARVE)</f>
        <v>519.38</v>
      </c>
      <c r="D25" s="455">
        <f>545.42*(DISNARVE)</f>
        <v>545.41999999999996</v>
      </c>
      <c r="E25" s="453">
        <f>573.2*(DISNARVE)</f>
        <v>573.20000000000005</v>
      </c>
      <c r="G25" s="417">
        <v>286</v>
      </c>
      <c r="H25" s="462">
        <f>722.92*(DISNARVE)</f>
        <v>722.92</v>
      </c>
      <c r="I25" s="455">
        <f>768*(DISNARVE)</f>
        <v>768</v>
      </c>
      <c r="J25" s="455">
        <f>813.11*(DISNARVE)</f>
        <v>813.11</v>
      </c>
      <c r="K25" s="453">
        <f>864.81*(DISNARVE)</f>
        <v>864.81</v>
      </c>
      <c r="M25" s="482"/>
      <c r="N25" s="482"/>
      <c r="O25" s="482"/>
      <c r="P25" s="482"/>
      <c r="Q25" s="482"/>
      <c r="R25" s="482"/>
      <c r="S25" s="482"/>
      <c r="T25" s="482"/>
      <c r="U25" s="482"/>
      <c r="V25" s="482"/>
    </row>
    <row r="26" spans="1:22" ht="15" x14ac:dyDescent="0.25">
      <c r="A26" s="417">
        <v>358</v>
      </c>
      <c r="B26" s="462">
        <f>561.35*(DISNARVE)</f>
        <v>561.35</v>
      </c>
      <c r="C26" s="455">
        <f>592.99*(DISNARVE)</f>
        <v>592.99</v>
      </c>
      <c r="D26" s="455">
        <f>624.22*(DISNARVE)</f>
        <v>624.22</v>
      </c>
      <c r="E26" s="453">
        <f>657.52*(DISNARVE)</f>
        <v>657.52</v>
      </c>
      <c r="G26" s="417">
        <v>358</v>
      </c>
      <c r="H26" s="462">
        <f>826.32*(DISNARVE)</f>
        <v>826.32</v>
      </c>
      <c r="I26" s="455">
        <f>881.88*(DISNARVE)</f>
        <v>881.88</v>
      </c>
      <c r="J26" s="455">
        <f>937.37*(DISNARVE)</f>
        <v>937.37</v>
      </c>
      <c r="K26" s="453">
        <f>999.78*(DISNARVE)</f>
        <v>999.78</v>
      </c>
      <c r="M26" s="482"/>
      <c r="N26" s="482"/>
      <c r="O26" s="482"/>
      <c r="P26" s="482"/>
      <c r="Q26" s="482"/>
      <c r="R26" s="482"/>
      <c r="S26" s="482"/>
      <c r="T26" s="482"/>
      <c r="U26" s="482"/>
      <c r="V26" s="482"/>
    </row>
    <row r="27" spans="1:22" ht="15" x14ac:dyDescent="0.25">
      <c r="A27" s="417">
        <v>430</v>
      </c>
      <c r="B27" s="462">
        <f>629.36*(DISNARVE)</f>
        <v>629.36</v>
      </c>
      <c r="C27" s="455">
        <f>666.42*(DISNARVE)</f>
        <v>666.42</v>
      </c>
      <c r="D27" s="455">
        <f>702.98*(DISNARVE)</f>
        <v>702.98</v>
      </c>
      <c r="E27" s="453">
        <f>741.88*(DISNARVE)</f>
        <v>741.88</v>
      </c>
      <c r="G27" s="417">
        <v>430</v>
      </c>
      <c r="H27" s="462">
        <f>929.83*(DISNARVE)</f>
        <v>929.83</v>
      </c>
      <c r="I27" s="455">
        <f>995.8*(DISNARVE)</f>
        <v>995.8</v>
      </c>
      <c r="J27" s="455">
        <f>1061.69*(DISNARVE)</f>
        <v>1061.69</v>
      </c>
      <c r="K27" s="453">
        <f>1134.66*(DISNARVE)</f>
        <v>1134.6600000000001</v>
      </c>
      <c r="M27" s="482"/>
      <c r="N27" s="482"/>
      <c r="O27" s="482"/>
      <c r="P27" s="482"/>
      <c r="Q27" s="482"/>
      <c r="R27" s="482"/>
      <c r="S27" s="482"/>
      <c r="T27" s="482"/>
      <c r="U27" s="482"/>
      <c r="V27" s="482"/>
    </row>
    <row r="28" spans="1:22" ht="15" x14ac:dyDescent="0.25">
      <c r="A28" s="417">
        <v>502</v>
      </c>
      <c r="B28" s="462">
        <f>697.56*(DISNARVE)</f>
        <v>697.56</v>
      </c>
      <c r="C28" s="455">
        <f>740.03*(DISNARVE)</f>
        <v>740.03</v>
      </c>
      <c r="D28" s="455">
        <f>781.89*(DISNARVE)</f>
        <v>781.89</v>
      </c>
      <c r="E28" s="453">
        <f>826.32*(DISNARVE)</f>
        <v>826.32</v>
      </c>
      <c r="G28" s="417">
        <v>502</v>
      </c>
      <c r="H28" s="462">
        <f>1033.23*(DISNARVE)</f>
        <v>1033.23</v>
      </c>
      <c r="I28" s="455">
        <f>1109.68*(DISNARVE)</f>
        <v>1109.68</v>
      </c>
      <c r="J28" s="455">
        <f>1186.02*(DISNARVE)</f>
        <v>1186.02</v>
      </c>
      <c r="K28" s="453">
        <f>1269.67*(DISNARVE)</f>
        <v>1269.67</v>
      </c>
      <c r="M28" s="482"/>
      <c r="N28" s="482"/>
      <c r="O28" s="482"/>
      <c r="P28" s="482"/>
      <c r="Q28" s="482"/>
      <c r="R28" s="482"/>
      <c r="S28" s="482"/>
      <c r="T28" s="482"/>
      <c r="U28" s="482"/>
      <c r="V28" s="482"/>
    </row>
    <row r="29" spans="1:22" ht="15" x14ac:dyDescent="0.25">
      <c r="A29" s="417">
        <v>574</v>
      </c>
      <c r="B29" s="462">
        <f>765.69*(DISNARVE)</f>
        <v>765.69</v>
      </c>
      <c r="C29" s="455">
        <f>813.49*(DISNARVE)</f>
        <v>813.49</v>
      </c>
      <c r="D29" s="455">
        <f>860.61*(DISNARVE)</f>
        <v>860.61</v>
      </c>
      <c r="E29" s="453">
        <f>910.65*(DISNARVE)</f>
        <v>910.65</v>
      </c>
      <c r="G29" s="417">
        <v>574</v>
      </c>
      <c r="H29" s="462">
        <f>1136.75*(DISNARVE)</f>
        <v>1136.75</v>
      </c>
      <c r="I29" s="455">
        <f>1223.53*(DISNARVE)</f>
        <v>1223.53</v>
      </c>
      <c r="J29" s="455">
        <f>1310.24*(DISNARVE)</f>
        <v>1310.24</v>
      </c>
      <c r="K29" s="453">
        <f>1404.55*(DISNARVE)</f>
        <v>1404.55</v>
      </c>
      <c r="M29" s="482"/>
      <c r="N29" s="482"/>
      <c r="O29" s="482"/>
      <c r="P29" s="482"/>
      <c r="Q29" s="482"/>
      <c r="R29" s="482"/>
      <c r="S29" s="482"/>
      <c r="T29" s="482"/>
      <c r="U29" s="482"/>
      <c r="V29" s="482"/>
    </row>
    <row r="30" spans="1:22" ht="15" x14ac:dyDescent="0.25">
      <c r="A30" s="417">
        <v>646</v>
      </c>
      <c r="B30" s="462">
        <f>833.7*(DISNARVE)</f>
        <v>833.7</v>
      </c>
      <c r="C30" s="455">
        <f>886.95*(DISNARVE)</f>
        <v>886.95</v>
      </c>
      <c r="D30" s="455">
        <f>939.41*(DISNARVE)</f>
        <v>939.41</v>
      </c>
      <c r="E30" s="453">
        <f>995.01*(DISNARVE)</f>
        <v>995.01</v>
      </c>
      <c r="G30" s="417">
        <v>646</v>
      </c>
      <c r="H30" s="462">
        <f>1240.14*(DISNARVE)</f>
        <v>1240.1400000000001</v>
      </c>
      <c r="I30" s="455">
        <f>1337.3*(DISNARVE)</f>
        <v>1337.3</v>
      </c>
      <c r="J30" s="455">
        <f>1434.6*(DISNARVE)</f>
        <v>1434.6</v>
      </c>
      <c r="K30" s="453">
        <f>1539.52*(DISNARVE)</f>
        <v>1539.52</v>
      </c>
      <c r="M30" s="482"/>
      <c r="N30" s="482"/>
      <c r="O30" s="482"/>
      <c r="P30" s="482"/>
      <c r="Q30" s="482"/>
      <c r="R30" s="482"/>
      <c r="S30" s="482"/>
      <c r="T30" s="482"/>
      <c r="U30" s="482"/>
      <c r="V30" s="482"/>
    </row>
    <row r="31" spans="1:22" ht="15" x14ac:dyDescent="0.25">
      <c r="A31" s="417">
        <v>718</v>
      </c>
      <c r="B31" s="462">
        <f>901.86*(DISNARVE)</f>
        <v>901.86</v>
      </c>
      <c r="C31" s="455">
        <f>960.53*(DISNARVE)</f>
        <v>960.53</v>
      </c>
      <c r="D31" s="455">
        <f>1018.21*(DISNARVE)</f>
        <v>1018.21</v>
      </c>
      <c r="E31" s="453">
        <f>1079.48*(DISNARVE)</f>
        <v>1079.48</v>
      </c>
      <c r="G31" s="417">
        <v>718</v>
      </c>
      <c r="H31" s="462">
        <f>1343.66*(DISNARVE)</f>
        <v>1343.66</v>
      </c>
      <c r="I31" s="455">
        <f>1451.18*(DISNARVE)</f>
        <v>1451.18</v>
      </c>
      <c r="J31" s="455">
        <f>1558.86*(DISNARVE)</f>
        <v>1558.86</v>
      </c>
      <c r="K31" s="453">
        <f>1674.44*(DISNARVE)</f>
        <v>1674.44</v>
      </c>
      <c r="M31" s="482"/>
      <c r="N31" s="482"/>
      <c r="O31" s="482"/>
      <c r="P31" s="482"/>
      <c r="Q31" s="482"/>
      <c r="R31" s="482"/>
      <c r="S31" s="482"/>
      <c r="T31" s="482"/>
      <c r="U31" s="482"/>
      <c r="V31" s="482"/>
    </row>
    <row r="32" spans="1:22" ht="15" x14ac:dyDescent="0.25">
      <c r="A32" s="417">
        <v>790</v>
      </c>
      <c r="B32" s="462">
        <f>969.99*(DISNARVE)</f>
        <v>969.99</v>
      </c>
      <c r="C32" s="455">
        <f>1034.03*(DISNARVE)</f>
        <v>1034.03</v>
      </c>
      <c r="D32" s="455">
        <f>1096.97*(DISNARVE)</f>
        <v>1096.97</v>
      </c>
      <c r="E32" s="453">
        <f>1163.84*(DISNARVE)</f>
        <v>1163.8399999999999</v>
      </c>
      <c r="G32" s="417">
        <v>790</v>
      </c>
      <c r="H32" s="462">
        <f>1447.02*(DISNARVE)</f>
        <v>1447.02</v>
      </c>
      <c r="I32" s="455">
        <f>1565.06*(DISNARVE)</f>
        <v>1565.06</v>
      </c>
      <c r="J32" s="455">
        <f>1683.19*(DISNARVE)</f>
        <v>1683.19</v>
      </c>
      <c r="K32" s="453">
        <f>1809.26*(DISNARVE)</f>
        <v>1809.26</v>
      </c>
      <c r="M32" s="482"/>
      <c r="N32" s="482"/>
      <c r="O32" s="482"/>
      <c r="P32" s="482"/>
      <c r="Q32" s="482"/>
      <c r="R32" s="482"/>
      <c r="S32" s="482"/>
      <c r="T32" s="482"/>
      <c r="U32" s="482"/>
      <c r="V32" s="482"/>
    </row>
    <row r="33" spans="1:22" ht="15.75" thickBot="1" x14ac:dyDescent="0.3">
      <c r="A33" s="418">
        <v>862</v>
      </c>
      <c r="B33" s="463">
        <f>1038*(DISNARVE)</f>
        <v>1038</v>
      </c>
      <c r="C33" s="456">
        <f>1107.57*(DISNARVE)</f>
        <v>1107.57</v>
      </c>
      <c r="D33" s="456">
        <f>1175.77*(DISNARVE)</f>
        <v>1175.77</v>
      </c>
      <c r="E33" s="454">
        <f>1248.32*(DISNARVE)</f>
        <v>1248.32</v>
      </c>
      <c r="G33" s="418">
        <v>862</v>
      </c>
      <c r="H33" s="463">
        <f>1550.53*(DISNARVE)</f>
        <v>1550.53</v>
      </c>
      <c r="I33" s="456">
        <f>1678.91*(DISNARVE)</f>
        <v>1678.91</v>
      </c>
      <c r="J33" s="456">
        <f>1807.48*(DISNARVE)</f>
        <v>1807.48</v>
      </c>
      <c r="K33" s="454">
        <f>1944.33*(DISNARVE)</f>
        <v>1944.33</v>
      </c>
      <c r="M33" s="482"/>
      <c r="N33" s="482"/>
      <c r="O33" s="482"/>
      <c r="P33" s="482"/>
      <c r="Q33" s="482"/>
      <c r="R33" s="482"/>
      <c r="S33" s="482"/>
      <c r="T33" s="482"/>
      <c r="U33" s="482"/>
      <c r="V33" s="482"/>
    </row>
    <row r="34" spans="1:22" ht="4.5" customHeight="1" x14ac:dyDescent="0.2">
      <c r="A34" s="450"/>
      <c r="B34" s="452"/>
      <c r="C34" s="465"/>
      <c r="D34" s="465"/>
      <c r="E34" s="452"/>
      <c r="F34" s="450"/>
      <c r="G34" s="450"/>
      <c r="H34" s="452"/>
      <c r="I34" s="465"/>
      <c r="J34" s="465"/>
      <c r="M34" s="482"/>
      <c r="N34" s="482"/>
      <c r="O34" s="482"/>
      <c r="P34" s="482"/>
      <c r="Q34" s="482"/>
      <c r="R34" s="482"/>
      <c r="S34" s="482"/>
      <c r="T34" s="482"/>
      <c r="U34" s="482"/>
      <c r="V34" s="482"/>
    </row>
    <row r="35" spans="1:22" ht="13.5" thickBot="1" x14ac:dyDescent="0.25">
      <c r="B35" s="61"/>
      <c r="C35" s="61"/>
      <c r="D35" s="61"/>
      <c r="E35" s="61"/>
      <c r="F35" s="466" t="s">
        <v>256</v>
      </c>
      <c r="G35" s="451"/>
      <c r="H35" s="61"/>
      <c r="I35" s="61"/>
      <c r="J35" s="61"/>
      <c r="M35" s="482"/>
      <c r="N35" s="482"/>
      <c r="O35" s="482"/>
      <c r="P35" s="482"/>
      <c r="Q35" s="482"/>
      <c r="R35" s="482"/>
      <c r="S35" s="482"/>
      <c r="T35" s="482"/>
      <c r="U35" s="482"/>
      <c r="V35" s="482"/>
    </row>
    <row r="36" spans="1:22" x14ac:dyDescent="0.2">
      <c r="A36" s="755" t="s">
        <v>252</v>
      </c>
      <c r="B36" s="759" t="s">
        <v>174</v>
      </c>
      <c r="C36" s="751"/>
      <c r="D36" s="752"/>
      <c r="E36" s="568"/>
      <c r="G36" s="755" t="s">
        <v>253</v>
      </c>
      <c r="H36" s="570" t="s">
        <v>174</v>
      </c>
      <c r="I36" s="445"/>
      <c r="J36" s="445"/>
      <c r="K36" s="568"/>
      <c r="M36" s="482"/>
      <c r="N36" s="482"/>
      <c r="O36" s="482"/>
      <c r="P36" s="482"/>
      <c r="Q36" s="482"/>
      <c r="R36" s="482"/>
      <c r="S36" s="482"/>
      <c r="T36" s="482"/>
      <c r="U36" s="482"/>
      <c r="V36" s="482"/>
    </row>
    <row r="37" spans="1:22" x14ac:dyDescent="0.2">
      <c r="A37" s="756"/>
      <c r="B37" s="457">
        <v>1600</v>
      </c>
      <c r="C37" s="457">
        <v>1800</v>
      </c>
      <c r="D37" s="564">
        <v>2000</v>
      </c>
      <c r="E37" s="569"/>
      <c r="G37" s="756"/>
      <c r="H37" s="457">
        <v>1600</v>
      </c>
      <c r="I37" s="457">
        <v>1800</v>
      </c>
      <c r="J37" s="564">
        <v>2000</v>
      </c>
      <c r="K37" s="569"/>
      <c r="M37" s="482"/>
      <c r="N37" s="482"/>
      <c r="O37" s="482"/>
      <c r="P37" s="482"/>
      <c r="Q37" s="482"/>
      <c r="R37" s="482"/>
      <c r="S37" s="482"/>
      <c r="T37" s="482"/>
      <c r="U37" s="482"/>
      <c r="V37" s="482"/>
    </row>
    <row r="38" spans="1:22" ht="15" x14ac:dyDescent="0.25">
      <c r="A38" s="417">
        <v>214</v>
      </c>
      <c r="B38" s="462">
        <f>215.99*(DISNARVE)</f>
        <v>215.99</v>
      </c>
      <c r="C38" s="455">
        <f>227.8*(DISNARVE)</f>
        <v>227.8</v>
      </c>
      <c r="D38" s="565">
        <f>238.51*(DISNARVE)</f>
        <v>238.51</v>
      </c>
      <c r="E38" s="567"/>
      <c r="G38" s="417">
        <v>214</v>
      </c>
      <c r="H38" s="462">
        <f>317.54*(DISNARVE)</f>
        <v>317.54000000000002</v>
      </c>
      <c r="I38" s="455">
        <f>337.64*(DISNARVE)</f>
        <v>337.64</v>
      </c>
      <c r="J38" s="565">
        <f>356.03*(DISNARVE)</f>
        <v>356.03</v>
      </c>
      <c r="K38" s="567"/>
      <c r="M38" s="482"/>
      <c r="N38" s="482"/>
      <c r="O38" s="482"/>
      <c r="P38" s="482"/>
      <c r="Q38" s="482"/>
      <c r="R38" s="482"/>
      <c r="S38" s="482"/>
      <c r="T38" s="482"/>
      <c r="U38" s="482"/>
      <c r="V38" s="482"/>
    </row>
    <row r="39" spans="1:22" ht="15" x14ac:dyDescent="0.25">
      <c r="A39" s="417">
        <v>286</v>
      </c>
      <c r="B39" s="462">
        <f>254.3*(DISNARVE)</f>
        <v>254.3</v>
      </c>
      <c r="C39" s="455">
        <f>269.06*(DISNARVE)</f>
        <v>269.06</v>
      </c>
      <c r="D39" s="565">
        <f>282.95*(DISNARVE)</f>
        <v>282.95</v>
      </c>
      <c r="E39" s="567"/>
      <c r="G39" s="417">
        <v>286</v>
      </c>
      <c r="H39" s="462">
        <f>373.14*(DISNARVE)</f>
        <v>373.14</v>
      </c>
      <c r="I39" s="455">
        <f>399.02*(DISNARVE)</f>
        <v>399.02</v>
      </c>
      <c r="J39" s="565">
        <f>423.28*(DISNARVE)</f>
        <v>423.28</v>
      </c>
      <c r="K39" s="567"/>
      <c r="M39" s="482"/>
      <c r="N39" s="482"/>
      <c r="O39" s="482"/>
      <c r="P39" s="482"/>
      <c r="Q39" s="482"/>
      <c r="R39" s="482"/>
      <c r="S39" s="482"/>
      <c r="T39" s="482"/>
      <c r="U39" s="482"/>
      <c r="V39" s="482"/>
    </row>
    <row r="40" spans="1:22" ht="15" x14ac:dyDescent="0.25">
      <c r="A40" s="417">
        <v>358</v>
      </c>
      <c r="B40" s="462">
        <f>292.64*(DISNARVE)</f>
        <v>292.64</v>
      </c>
      <c r="C40" s="455">
        <f>310.39*(DISNARVE)</f>
        <v>310.39</v>
      </c>
      <c r="D40" s="565">
        <f>327.23*(DISNARVE)</f>
        <v>327.23</v>
      </c>
      <c r="E40" s="567"/>
      <c r="G40" s="417">
        <v>358</v>
      </c>
      <c r="H40" s="462">
        <f>428.7*(DISNARVE)</f>
        <v>428.7</v>
      </c>
      <c r="I40" s="455">
        <f>460.45*(DISNARVE)</f>
        <v>460.45</v>
      </c>
      <c r="J40" s="565">
        <f>490.5*(DISNARVE)</f>
        <v>490.5</v>
      </c>
      <c r="K40" s="567"/>
      <c r="M40" s="482"/>
      <c r="N40" s="482"/>
      <c r="O40" s="482"/>
      <c r="P40" s="482"/>
      <c r="Q40" s="482"/>
      <c r="R40" s="482"/>
      <c r="S40" s="482"/>
      <c r="T40" s="482"/>
      <c r="U40" s="482"/>
      <c r="V40" s="482"/>
    </row>
    <row r="41" spans="1:22" ht="15" x14ac:dyDescent="0.25">
      <c r="A41" s="417">
        <v>430</v>
      </c>
      <c r="B41" s="462">
        <f>331.05*(DISNARVE)</f>
        <v>331.05</v>
      </c>
      <c r="C41" s="455">
        <f>351.75*(DISNARVE)</f>
        <v>351.75</v>
      </c>
      <c r="D41" s="565">
        <f>371.7*(DISNARVE)</f>
        <v>371.7</v>
      </c>
      <c r="E41" s="567"/>
      <c r="G41" s="417">
        <v>430</v>
      </c>
      <c r="H41" s="462">
        <f>484.33*(DISNARVE)</f>
        <v>484.33</v>
      </c>
      <c r="I41" s="455">
        <f>521.84*(DISNARVE)</f>
        <v>521.84</v>
      </c>
      <c r="J41" s="565">
        <f>557.87*(DISNARVE)</f>
        <v>557.87</v>
      </c>
      <c r="K41" s="567"/>
      <c r="M41" s="482"/>
      <c r="N41" s="482"/>
      <c r="O41" s="482"/>
      <c r="P41" s="482"/>
      <c r="Q41" s="482"/>
      <c r="R41" s="482"/>
      <c r="S41" s="482"/>
      <c r="T41" s="482"/>
      <c r="U41" s="482"/>
      <c r="V41" s="482"/>
    </row>
    <row r="42" spans="1:22" ht="15" x14ac:dyDescent="0.25">
      <c r="A42" s="417">
        <v>502</v>
      </c>
      <c r="B42" s="462">
        <f>369.35*(DISNARVE)</f>
        <v>369.35</v>
      </c>
      <c r="C42" s="455">
        <f>393.08*(DISNARVE)</f>
        <v>393.08</v>
      </c>
      <c r="D42" s="565">
        <f>416.02*(DISNARVE)</f>
        <v>416.02</v>
      </c>
      <c r="E42" s="567"/>
      <c r="G42" s="417">
        <v>502</v>
      </c>
      <c r="H42" s="462">
        <f>539.85*(DISNARVE)</f>
        <v>539.85</v>
      </c>
      <c r="I42" s="455">
        <f>583.3*(DISNARVE)</f>
        <v>583.29999999999995</v>
      </c>
      <c r="J42" s="565">
        <f>625.16*(DISNARVE)</f>
        <v>625.16</v>
      </c>
      <c r="K42" s="567"/>
      <c r="M42" s="482"/>
      <c r="N42" s="482"/>
      <c r="O42" s="482"/>
      <c r="P42" s="482"/>
      <c r="Q42" s="482"/>
      <c r="R42" s="482"/>
      <c r="S42" s="482"/>
      <c r="T42" s="482"/>
      <c r="U42" s="482"/>
      <c r="V42" s="482"/>
    </row>
    <row r="43" spans="1:22" ht="15" x14ac:dyDescent="0.25">
      <c r="A43" s="417">
        <v>574</v>
      </c>
      <c r="B43" s="462">
        <f>407.73*(DISNARVE)</f>
        <v>407.73</v>
      </c>
      <c r="C43" s="455">
        <f>434.41*(DISNARVE)</f>
        <v>434.41</v>
      </c>
      <c r="D43" s="565">
        <f>460.45*(DISNARVE)</f>
        <v>460.45</v>
      </c>
      <c r="E43" s="567"/>
      <c r="G43" s="417">
        <v>574</v>
      </c>
      <c r="H43" s="462">
        <f>595.6*(DISNARVE)</f>
        <v>595.6</v>
      </c>
      <c r="I43" s="455">
        <f>644.65*(DISNARVE)</f>
        <v>644.65</v>
      </c>
      <c r="J43" s="565">
        <f>692.34*(DISNARVE)</f>
        <v>692.34</v>
      </c>
      <c r="K43" s="567"/>
      <c r="M43" s="482"/>
      <c r="N43" s="482"/>
      <c r="O43" s="482"/>
      <c r="P43" s="482"/>
      <c r="Q43" s="482"/>
      <c r="R43" s="482"/>
      <c r="S43" s="482"/>
      <c r="T43" s="482"/>
      <c r="U43" s="482"/>
      <c r="V43" s="482"/>
    </row>
    <row r="44" spans="1:22" ht="15" x14ac:dyDescent="0.25">
      <c r="A44" s="417">
        <v>646</v>
      </c>
      <c r="B44" s="462">
        <f>446.07*(DISNARVE)</f>
        <v>446.07</v>
      </c>
      <c r="C44" s="455">
        <f>475.74*(DISNARVE)</f>
        <v>475.74</v>
      </c>
      <c r="D44" s="565">
        <f>504.77*(DISNARVE)</f>
        <v>504.77</v>
      </c>
      <c r="E44" s="567"/>
      <c r="G44" s="417">
        <v>646</v>
      </c>
      <c r="H44" s="462">
        <f>651.13*(DISNARVE)</f>
        <v>651.13</v>
      </c>
      <c r="I44" s="455">
        <f>706.08*(DISNARVE)</f>
        <v>706.08</v>
      </c>
      <c r="J44" s="565">
        <f>759.71*(DISNARVE)</f>
        <v>759.71</v>
      </c>
      <c r="K44" s="567"/>
      <c r="M44" s="482"/>
      <c r="N44" s="482"/>
      <c r="O44" s="482"/>
      <c r="P44" s="482"/>
      <c r="Q44" s="482"/>
      <c r="R44" s="482"/>
      <c r="S44" s="482"/>
      <c r="T44" s="482"/>
      <c r="U44" s="482"/>
      <c r="V44" s="482"/>
    </row>
    <row r="45" spans="1:22" ht="15" x14ac:dyDescent="0.25">
      <c r="A45" s="417">
        <v>718</v>
      </c>
      <c r="B45" s="462">
        <f>484.45*(DISNARVE)</f>
        <v>484.45</v>
      </c>
      <c r="C45" s="455">
        <f>517.07*(DISNARVE)</f>
        <v>517.07000000000005</v>
      </c>
      <c r="D45" s="565">
        <f>549.2*(DISNARVE)</f>
        <v>549.20000000000005</v>
      </c>
      <c r="E45" s="567"/>
      <c r="G45" s="417">
        <v>718</v>
      </c>
      <c r="H45" s="462">
        <f>706.76*(DISNARVE)</f>
        <v>706.76</v>
      </c>
      <c r="I45" s="455">
        <f>767.51*(DISNARVE)</f>
        <v>767.51</v>
      </c>
      <c r="J45" s="565">
        <f>826.97*(DISNARVE)</f>
        <v>826.97</v>
      </c>
      <c r="K45" s="567"/>
      <c r="M45" s="482"/>
      <c r="N45" s="482"/>
      <c r="O45" s="482"/>
      <c r="P45" s="482"/>
      <c r="Q45" s="482"/>
      <c r="R45" s="482"/>
      <c r="S45" s="482"/>
      <c r="T45" s="482"/>
      <c r="U45" s="482"/>
      <c r="V45" s="482"/>
    </row>
    <row r="46" spans="1:22" ht="15" x14ac:dyDescent="0.25">
      <c r="A46" s="417">
        <v>790</v>
      </c>
      <c r="B46" s="462">
        <f>522.79*(DISNARVE)</f>
        <v>522.79</v>
      </c>
      <c r="C46" s="455">
        <f>558.4*(DISNARVE)</f>
        <v>558.4</v>
      </c>
      <c r="D46" s="565">
        <f>593.48*(DISNARVE)</f>
        <v>593.48</v>
      </c>
      <c r="E46" s="567"/>
      <c r="G46" s="417">
        <v>790</v>
      </c>
      <c r="H46" s="462">
        <f>762.32*(DISNARVE)</f>
        <v>762.32</v>
      </c>
      <c r="I46" s="455">
        <f>828.9*(DISNARVE)</f>
        <v>828.9</v>
      </c>
      <c r="J46" s="565">
        <f>894.22*(DISNARVE)</f>
        <v>894.22</v>
      </c>
      <c r="K46" s="567"/>
      <c r="M46" s="482"/>
      <c r="N46" s="482"/>
      <c r="O46" s="482"/>
      <c r="P46" s="482"/>
      <c r="Q46" s="482"/>
      <c r="R46" s="482"/>
      <c r="S46" s="482"/>
      <c r="T46" s="482"/>
      <c r="U46" s="482"/>
      <c r="V46" s="482"/>
    </row>
    <row r="47" spans="1:22" ht="15.75" thickBot="1" x14ac:dyDescent="0.3">
      <c r="A47" s="418">
        <v>862</v>
      </c>
      <c r="B47" s="463">
        <f>561.13*(DISNARVE)</f>
        <v>561.13</v>
      </c>
      <c r="C47" s="456">
        <f>599.73*(DISNARVE)</f>
        <v>599.73</v>
      </c>
      <c r="D47" s="566">
        <f>637.96*(DISNARVE)</f>
        <v>637.96</v>
      </c>
      <c r="E47" s="567"/>
      <c r="G47" s="418">
        <v>862</v>
      </c>
      <c r="H47" s="463">
        <f>817.88*(DISNARVE)</f>
        <v>817.88</v>
      </c>
      <c r="I47" s="456">
        <f>890.32*(DISNARVE)</f>
        <v>890.32</v>
      </c>
      <c r="J47" s="566">
        <f>961.63*(DISNARVE)</f>
        <v>961.63</v>
      </c>
      <c r="K47" s="567"/>
      <c r="M47" s="482"/>
      <c r="N47" s="482"/>
      <c r="O47" s="482"/>
      <c r="P47" s="482"/>
      <c r="Q47" s="482"/>
      <c r="R47" s="482"/>
      <c r="S47" s="482"/>
      <c r="T47" s="482"/>
      <c r="U47" s="482"/>
      <c r="V47" s="482"/>
    </row>
    <row r="48" spans="1:22" ht="3" customHeight="1" thickBot="1" x14ac:dyDescent="0.3">
      <c r="A48" s="412"/>
      <c r="B48" s="413"/>
      <c r="C48" s="413"/>
      <c r="D48" s="413"/>
      <c r="E48" s="62"/>
      <c r="G48" s="412"/>
      <c r="H48" s="413"/>
      <c r="I48" s="413"/>
      <c r="J48" s="413"/>
      <c r="K48" s="97"/>
      <c r="M48" s="482"/>
      <c r="N48" s="482"/>
      <c r="O48" s="482"/>
      <c r="P48" s="482"/>
      <c r="Q48" s="482"/>
      <c r="R48" s="482"/>
      <c r="S48" s="482"/>
      <c r="T48" s="482"/>
      <c r="U48" s="482"/>
      <c r="V48" s="482"/>
    </row>
    <row r="49" spans="1:22" x14ac:dyDescent="0.2">
      <c r="A49" s="755" t="s">
        <v>254</v>
      </c>
      <c r="B49" s="759" t="s">
        <v>174</v>
      </c>
      <c r="C49" s="751"/>
      <c r="D49" s="752"/>
      <c r="E49" s="568"/>
      <c r="G49" s="755" t="s">
        <v>255</v>
      </c>
      <c r="H49" s="759" t="s">
        <v>174</v>
      </c>
      <c r="I49" s="751"/>
      <c r="J49" s="752"/>
      <c r="K49" s="568"/>
      <c r="M49" s="482"/>
      <c r="N49" s="482"/>
      <c r="O49" s="482"/>
      <c r="P49" s="482"/>
      <c r="Q49" s="482"/>
      <c r="R49" s="482"/>
      <c r="S49" s="482"/>
      <c r="T49" s="482"/>
      <c r="U49" s="482"/>
      <c r="V49" s="482"/>
    </row>
    <row r="50" spans="1:22" x14ac:dyDescent="0.2">
      <c r="A50" s="756"/>
      <c r="B50" s="457">
        <v>1600</v>
      </c>
      <c r="C50" s="457">
        <v>1800</v>
      </c>
      <c r="D50" s="564">
        <v>2000</v>
      </c>
      <c r="E50" s="569"/>
      <c r="G50" s="756"/>
      <c r="H50" s="457">
        <v>1600</v>
      </c>
      <c r="I50" s="457">
        <v>1800</v>
      </c>
      <c r="J50" s="564">
        <v>2000</v>
      </c>
      <c r="K50" s="569"/>
      <c r="M50" s="482"/>
      <c r="N50" s="482"/>
      <c r="O50" s="482"/>
      <c r="P50" s="482"/>
      <c r="Q50" s="482"/>
      <c r="R50" s="482"/>
      <c r="S50" s="482"/>
      <c r="T50" s="482"/>
      <c r="U50" s="482"/>
      <c r="V50" s="482"/>
    </row>
    <row r="51" spans="1:22" ht="15" x14ac:dyDescent="0.25">
      <c r="A51" s="417">
        <v>214</v>
      </c>
      <c r="B51" s="462">
        <f>478.58*(DISNARVE)</f>
        <v>478.58</v>
      </c>
      <c r="C51" s="455">
        <f>501.89*(DISNARVE)</f>
        <v>501.89</v>
      </c>
      <c r="D51" s="565">
        <f>525.74*(DISNARVE)</f>
        <v>525.74</v>
      </c>
      <c r="E51" s="567"/>
      <c r="G51" s="417">
        <v>214</v>
      </c>
      <c r="H51" s="462">
        <f>697.94*(DISNARVE)</f>
        <v>697.94</v>
      </c>
      <c r="I51" s="455">
        <f>736.66*(DISNARVE)</f>
        <v>736.66</v>
      </c>
      <c r="J51" s="565">
        <f>775.64*(DISNARVE)</f>
        <v>775.64</v>
      </c>
      <c r="K51" s="567"/>
      <c r="M51" s="482"/>
      <c r="N51" s="482"/>
      <c r="O51" s="482"/>
      <c r="P51" s="482"/>
      <c r="Q51" s="482"/>
      <c r="R51" s="482"/>
      <c r="S51" s="482"/>
      <c r="T51" s="482"/>
      <c r="U51" s="482"/>
      <c r="V51" s="482"/>
    </row>
    <row r="52" spans="1:22" ht="15" x14ac:dyDescent="0.25">
      <c r="A52" s="417">
        <v>286</v>
      </c>
      <c r="B52" s="462">
        <f>555.3*(DISNARVE)</f>
        <v>555.29999999999995</v>
      </c>
      <c r="C52" s="455">
        <f>584.67*(DISNARVE)</f>
        <v>584.66999999999996</v>
      </c>
      <c r="D52" s="565">
        <f>614.34*(DISNARVE)</f>
        <v>614.34</v>
      </c>
      <c r="E52" s="567"/>
      <c r="G52" s="417">
        <v>286</v>
      </c>
      <c r="H52" s="462">
        <f>814.44*(DISNARVE)</f>
        <v>814.44</v>
      </c>
      <c r="I52" s="455">
        <f>864.93*(DISNARVE)</f>
        <v>864.93</v>
      </c>
      <c r="J52" s="565">
        <f>915.72*(DISNARVE)</f>
        <v>915.72</v>
      </c>
      <c r="K52" s="567"/>
      <c r="M52" s="482"/>
      <c r="N52" s="482"/>
      <c r="O52" s="482"/>
      <c r="P52" s="482"/>
      <c r="Q52" s="482"/>
      <c r="R52" s="482"/>
      <c r="S52" s="482"/>
      <c r="T52" s="482"/>
      <c r="U52" s="482"/>
      <c r="V52" s="482"/>
    </row>
    <row r="53" spans="1:22" ht="15" x14ac:dyDescent="0.25">
      <c r="A53" s="417">
        <v>358</v>
      </c>
      <c r="B53" s="462">
        <f>631.98*(DISNARVE)</f>
        <v>631.98</v>
      </c>
      <c r="C53" s="455">
        <f>667.51*(DISNARVE)</f>
        <v>667.51</v>
      </c>
      <c r="D53" s="565">
        <f>703.09*(DISNARVE)</f>
        <v>703.09</v>
      </c>
      <c r="E53" s="567"/>
      <c r="G53" s="417">
        <v>358</v>
      </c>
      <c r="H53" s="462">
        <f>930.86*(DISNARVE)</f>
        <v>930.86</v>
      </c>
      <c r="I53" s="455">
        <f>993.19*(DISNARVE)</f>
        <v>993.19</v>
      </c>
      <c r="J53" s="565">
        <f>1055.64*(DISNARVE)</f>
        <v>1055.6400000000001</v>
      </c>
      <c r="K53" s="567"/>
      <c r="M53" s="482"/>
      <c r="N53" s="482"/>
      <c r="O53" s="482"/>
      <c r="P53" s="482"/>
      <c r="Q53" s="482"/>
      <c r="R53" s="482"/>
      <c r="S53" s="482"/>
      <c r="T53" s="482"/>
      <c r="U53" s="482"/>
      <c r="V53" s="482"/>
    </row>
    <row r="54" spans="1:22" ht="15" x14ac:dyDescent="0.25">
      <c r="A54" s="417">
        <v>430</v>
      </c>
      <c r="B54" s="462">
        <f>708.69*(DISNARVE)</f>
        <v>708.69</v>
      </c>
      <c r="C54" s="455">
        <f>750.29*(DISNARVE)</f>
        <v>750.29</v>
      </c>
      <c r="D54" s="565">
        <f>791.84*(DISNARVE)</f>
        <v>791.84</v>
      </c>
      <c r="E54" s="567"/>
      <c r="G54" s="417">
        <v>430</v>
      </c>
      <c r="H54" s="462">
        <f>1047.46*(DISNARVE)</f>
        <v>1047.46</v>
      </c>
      <c r="I54" s="455">
        <f>1121.49*(DISNARVE)</f>
        <v>1121.49</v>
      </c>
      <c r="J54" s="565">
        <f>1195.67*(DISNARVE)</f>
        <v>1195.67</v>
      </c>
      <c r="K54" s="567"/>
      <c r="M54" s="482"/>
      <c r="N54" s="482"/>
      <c r="O54" s="482"/>
      <c r="P54" s="482"/>
      <c r="Q54" s="482"/>
      <c r="R54" s="482"/>
      <c r="S54" s="482"/>
      <c r="T54" s="482"/>
      <c r="U54" s="482"/>
      <c r="V54" s="482"/>
    </row>
    <row r="55" spans="1:22" ht="15" x14ac:dyDescent="0.25">
      <c r="A55" s="417">
        <v>502</v>
      </c>
      <c r="B55" s="462">
        <f>785.37*(DISNARVE)</f>
        <v>785.37</v>
      </c>
      <c r="C55" s="455">
        <f>833.06*(DISNARVE)</f>
        <v>833.06</v>
      </c>
      <c r="D55" s="565">
        <f>880.59*(DISNARVE)</f>
        <v>880.59</v>
      </c>
      <c r="E55" s="567"/>
      <c r="G55" s="417">
        <v>502</v>
      </c>
      <c r="H55" s="462">
        <f>1163.96*(DISNARVE)</f>
        <v>1163.96</v>
      </c>
      <c r="I55" s="455">
        <f>1249.68*(DISNARVE)</f>
        <v>1249.68</v>
      </c>
      <c r="J55" s="565">
        <f>1335.75*(DISNARVE)</f>
        <v>1335.75</v>
      </c>
      <c r="K55" s="567"/>
      <c r="M55" s="482"/>
      <c r="N55" s="482"/>
      <c r="O55" s="482"/>
      <c r="P55" s="482"/>
      <c r="Q55" s="482"/>
      <c r="R55" s="482"/>
      <c r="S55" s="482"/>
      <c r="T55" s="482"/>
      <c r="U55" s="482"/>
      <c r="V55" s="482"/>
    </row>
    <row r="56" spans="1:22" ht="15" x14ac:dyDescent="0.25">
      <c r="A56" s="417">
        <v>574</v>
      </c>
      <c r="B56" s="462">
        <f>862.24*(DISNARVE)</f>
        <v>862.24</v>
      </c>
      <c r="C56" s="455">
        <f>915.83*(DISNARVE)</f>
        <v>915.83</v>
      </c>
      <c r="D56" s="565">
        <f>969.35*(DISNARVE)</f>
        <v>969.35</v>
      </c>
      <c r="E56" s="567"/>
      <c r="G56" s="417">
        <v>574</v>
      </c>
      <c r="H56" s="462">
        <f>1280.41*(DISNARVE)</f>
        <v>1280.4100000000001</v>
      </c>
      <c r="I56" s="455">
        <f>1377.95*(DISNARVE)</f>
        <v>1377.95</v>
      </c>
      <c r="J56" s="565">
        <f>1475.71*(DISNARVE)</f>
        <v>1475.71</v>
      </c>
      <c r="K56" s="567"/>
      <c r="M56" s="482"/>
      <c r="N56" s="482"/>
      <c r="O56" s="482"/>
      <c r="P56" s="482"/>
      <c r="Q56" s="482"/>
      <c r="R56" s="482"/>
      <c r="S56" s="482"/>
      <c r="T56" s="482"/>
      <c r="U56" s="482"/>
      <c r="V56" s="482"/>
    </row>
    <row r="57" spans="1:22" ht="15" x14ac:dyDescent="0.25">
      <c r="A57" s="417">
        <v>646</v>
      </c>
      <c r="B57" s="462">
        <f>938.88*(DISNARVE)</f>
        <v>938.88</v>
      </c>
      <c r="C57" s="455">
        <f>998.72*(DISNARVE)</f>
        <v>998.72</v>
      </c>
      <c r="D57" s="565">
        <f>1058.1*(DISNARVE)</f>
        <v>1058.0999999999999</v>
      </c>
      <c r="E57" s="567"/>
      <c r="G57" s="417">
        <v>646</v>
      </c>
      <c r="H57" s="462">
        <f>1396.91*(DISNARVE)</f>
        <v>1396.91</v>
      </c>
      <c r="I57" s="455">
        <f>1506.25*(DISNARVE)</f>
        <v>1506.25</v>
      </c>
      <c r="J57" s="565">
        <f>1615.7*(DISNARVE)</f>
        <v>1615.7</v>
      </c>
      <c r="K57" s="567"/>
      <c r="M57" s="482"/>
      <c r="N57" s="482"/>
      <c r="O57" s="482"/>
      <c r="P57" s="482"/>
      <c r="Q57" s="482"/>
      <c r="R57" s="482"/>
      <c r="S57" s="482"/>
      <c r="T57" s="482"/>
      <c r="U57" s="482"/>
      <c r="V57" s="482"/>
    </row>
    <row r="58" spans="1:22" ht="15" x14ac:dyDescent="0.25">
      <c r="A58" s="417">
        <v>718</v>
      </c>
      <c r="B58" s="462">
        <f>1015.63*(DISNARVE)</f>
        <v>1015.63</v>
      </c>
      <c r="C58" s="455">
        <f>1081.53*(DISNARVE)</f>
        <v>1081.53</v>
      </c>
      <c r="D58" s="565">
        <f>1146.85*(DISNARVE)</f>
        <v>1146.8499999999999</v>
      </c>
      <c r="E58" s="567"/>
      <c r="G58" s="417">
        <v>718</v>
      </c>
      <c r="H58" s="462">
        <f>1513.52*(DISNARVE)</f>
        <v>1513.52</v>
      </c>
      <c r="I58" s="455">
        <f>1634.48*(DISNARVE)</f>
        <v>1634.48</v>
      </c>
      <c r="J58" s="565">
        <f>1755.63*(DISNARVE)</f>
        <v>1755.63</v>
      </c>
      <c r="K58" s="567"/>
      <c r="M58" s="482"/>
      <c r="N58" s="482"/>
      <c r="O58" s="482"/>
      <c r="P58" s="482"/>
      <c r="Q58" s="482"/>
      <c r="R58" s="482"/>
      <c r="S58" s="482"/>
      <c r="T58" s="482"/>
      <c r="U58" s="482"/>
      <c r="V58" s="482"/>
    </row>
    <row r="59" spans="1:22" ht="15" x14ac:dyDescent="0.25">
      <c r="A59" s="417">
        <v>790</v>
      </c>
      <c r="B59" s="462">
        <f>1092.31*(DISNARVE)</f>
        <v>1092.31</v>
      </c>
      <c r="C59" s="455">
        <f>1164.37*(DISNARVE)</f>
        <v>1164.3699999999999</v>
      </c>
      <c r="D59" s="565">
        <f>1235.64*(DISNARVE)</f>
        <v>1235.6400000000001</v>
      </c>
      <c r="E59" s="567"/>
      <c r="G59" s="417">
        <v>790</v>
      </c>
      <c r="H59" s="462">
        <f>1629.97*(DISNARVE)</f>
        <v>1629.97</v>
      </c>
      <c r="I59" s="455">
        <f>1762.78*(DISNARVE)</f>
        <v>1762.78</v>
      </c>
      <c r="J59" s="565">
        <f>1895.7*(DISNARVE)</f>
        <v>1895.7</v>
      </c>
      <c r="K59" s="567"/>
      <c r="M59" s="482"/>
      <c r="N59" s="482"/>
      <c r="O59" s="482"/>
      <c r="P59" s="482"/>
      <c r="Q59" s="482"/>
      <c r="R59" s="482"/>
      <c r="S59" s="482"/>
      <c r="T59" s="482"/>
      <c r="U59" s="482"/>
      <c r="V59" s="482"/>
    </row>
    <row r="60" spans="1:22" ht="15.75" thickBot="1" x14ac:dyDescent="0.3">
      <c r="A60" s="418">
        <v>862</v>
      </c>
      <c r="B60" s="463">
        <f>1168.99*(DISNARVE)</f>
        <v>1168.99</v>
      </c>
      <c r="C60" s="456">
        <f>1247.11*(DISNARVE)</f>
        <v>1247.1099999999999</v>
      </c>
      <c r="D60" s="566">
        <f>1324.39*(DISNARVE)</f>
        <v>1324.39</v>
      </c>
      <c r="E60" s="567"/>
      <c r="G60" s="418">
        <v>862</v>
      </c>
      <c r="H60" s="463">
        <f>1746.47*(DISNARVE)</f>
        <v>1746.47</v>
      </c>
      <c r="I60" s="456">
        <f>1891.01*(DISNARVE)</f>
        <v>1891.01</v>
      </c>
      <c r="J60" s="566">
        <f>2035.73*(DISNARVE)</f>
        <v>2035.73</v>
      </c>
      <c r="K60" s="567"/>
      <c r="M60" s="482"/>
      <c r="N60" s="482"/>
      <c r="O60" s="482"/>
      <c r="P60" s="482"/>
      <c r="Q60" s="482"/>
      <c r="R60" s="482"/>
      <c r="S60" s="482"/>
      <c r="T60" s="482"/>
      <c r="U60" s="482"/>
      <c r="V60" s="482"/>
    </row>
    <row r="61" spans="1:22" ht="5.25" customHeight="1" thickBot="1" x14ac:dyDescent="0.3">
      <c r="A61" s="452"/>
      <c r="B61" s="430"/>
      <c r="C61" s="430"/>
      <c r="D61" s="430"/>
      <c r="E61" s="464"/>
      <c r="F61" s="429"/>
      <c r="G61" s="452"/>
      <c r="H61" s="430"/>
      <c r="I61" s="430"/>
      <c r="J61" s="430"/>
    </row>
    <row r="62" spans="1:22" ht="15" x14ac:dyDescent="0.25">
      <c r="A62" s="483" t="s">
        <v>175</v>
      </c>
      <c r="B62" s="484"/>
      <c r="C62" s="484"/>
      <c r="D62" s="485"/>
      <c r="E62" s="464"/>
      <c r="F62" s="429"/>
      <c r="G62" s="452"/>
      <c r="H62" s="430"/>
      <c r="I62" s="430"/>
      <c r="J62" s="430"/>
    </row>
    <row r="63" spans="1:22" ht="15.75" thickBot="1" x14ac:dyDescent="0.3">
      <c r="A63" s="486" t="s">
        <v>266</v>
      </c>
      <c r="B63" s="487"/>
      <c r="C63" s="487"/>
      <c r="D63" s="488">
        <f>5.97368421052632*(DISNARVE)</f>
        <v>5.9736842105263204</v>
      </c>
      <c r="E63" s="464"/>
      <c r="F63" s="429"/>
      <c r="G63" s="452"/>
      <c r="H63" s="430"/>
      <c r="I63" s="430"/>
      <c r="J63" s="430"/>
    </row>
    <row r="64" spans="1:22" ht="15" x14ac:dyDescent="0.25">
      <c r="A64" s="481"/>
      <c r="B64" s="430"/>
      <c r="C64" s="430"/>
      <c r="D64" s="430"/>
      <c r="E64" s="464"/>
      <c r="F64" s="429"/>
      <c r="G64" s="452"/>
      <c r="H64" s="430"/>
      <c r="I64" s="430"/>
      <c r="J64" s="430"/>
    </row>
    <row r="65" spans="1:10" ht="15" x14ac:dyDescent="0.25">
      <c r="A65" s="452"/>
      <c r="B65" s="430"/>
      <c r="C65" s="430"/>
      <c r="D65" s="430"/>
      <c r="E65" s="464"/>
      <c r="F65" s="429"/>
      <c r="G65" s="452"/>
      <c r="H65" s="430"/>
      <c r="I65" s="430"/>
      <c r="J65" s="430"/>
    </row>
    <row r="66" spans="1:10" ht="15" x14ac:dyDescent="0.25">
      <c r="A66" s="452"/>
      <c r="B66" s="430"/>
      <c r="C66" s="430"/>
      <c r="D66" s="430"/>
      <c r="E66" s="464"/>
      <c r="F66" s="429"/>
      <c r="G66" s="452"/>
      <c r="H66" s="430"/>
      <c r="I66" s="430"/>
      <c r="J66" s="430"/>
    </row>
    <row r="67" spans="1:10" ht="15" x14ac:dyDescent="0.25">
      <c r="A67" s="452"/>
      <c r="B67" s="430"/>
      <c r="C67" s="430"/>
      <c r="D67" s="430"/>
      <c r="E67" s="464"/>
      <c r="F67" s="429"/>
      <c r="G67" s="452"/>
      <c r="H67" s="430"/>
      <c r="I67" s="430"/>
      <c r="J67" s="430"/>
    </row>
    <row r="68" spans="1:10" ht="15" x14ac:dyDescent="0.25">
      <c r="A68" s="452"/>
      <c r="B68" s="430"/>
      <c r="C68" s="430"/>
      <c r="D68" s="430"/>
      <c r="E68" s="464"/>
      <c r="F68" s="429"/>
      <c r="G68" s="452"/>
      <c r="H68" s="430"/>
      <c r="I68" s="430"/>
      <c r="J68" s="430"/>
    </row>
    <row r="69" spans="1:10" ht="15" x14ac:dyDescent="0.25">
      <c r="A69" s="452"/>
      <c r="B69" s="430"/>
      <c r="C69" s="430"/>
      <c r="D69" s="430"/>
      <c r="E69" s="464"/>
      <c r="F69" s="429"/>
      <c r="G69" s="452"/>
      <c r="H69" s="430"/>
      <c r="I69" s="430"/>
      <c r="J69" s="430"/>
    </row>
    <row r="70" spans="1:10" ht="15" x14ac:dyDescent="0.25">
      <c r="A70" s="452"/>
      <c r="B70" s="430"/>
      <c r="C70" s="430"/>
      <c r="D70" s="430"/>
      <c r="E70" s="464"/>
      <c r="F70" s="429"/>
      <c r="G70" s="452"/>
      <c r="H70" s="430"/>
      <c r="I70" s="430"/>
      <c r="J70" s="430"/>
    </row>
    <row r="71" spans="1:10" ht="15" x14ac:dyDescent="0.25">
      <c r="A71" s="452"/>
      <c r="B71" s="430"/>
      <c r="C71" s="430"/>
      <c r="D71" s="430"/>
      <c r="E71" s="464"/>
      <c r="F71" s="444"/>
      <c r="G71" s="452"/>
      <c r="H71" s="430"/>
      <c r="I71" s="430"/>
      <c r="J71" s="430"/>
    </row>
    <row r="72" spans="1:10" ht="15" x14ac:dyDescent="0.25">
      <c r="A72" s="452"/>
      <c r="B72" s="430"/>
      <c r="C72" s="430"/>
      <c r="D72" s="430"/>
      <c r="E72" s="464"/>
      <c r="F72" s="444"/>
      <c r="G72" s="452"/>
      <c r="H72" s="430"/>
      <c r="I72" s="430"/>
      <c r="J72" s="430"/>
    </row>
    <row r="73" spans="1:10" ht="15" x14ac:dyDescent="0.25">
      <c r="A73" s="452"/>
      <c r="B73" s="430"/>
      <c r="C73" s="430"/>
      <c r="D73" s="430"/>
      <c r="E73" s="464"/>
      <c r="F73" s="444"/>
      <c r="G73" s="452"/>
      <c r="H73" s="430"/>
      <c r="I73" s="430"/>
      <c r="J73" s="430"/>
    </row>
    <row r="74" spans="1:10" ht="15" x14ac:dyDescent="0.25">
      <c r="A74" s="452"/>
      <c r="B74" s="430"/>
      <c r="C74" s="430"/>
      <c r="D74" s="430"/>
      <c r="E74" s="464"/>
      <c r="F74" s="444"/>
      <c r="G74" s="452"/>
      <c r="H74" s="430"/>
      <c r="I74" s="430"/>
      <c r="J74" s="430"/>
    </row>
    <row r="75" spans="1:10" ht="15" x14ac:dyDescent="0.25">
      <c r="A75" s="452"/>
      <c r="B75" s="430"/>
      <c r="C75" s="430"/>
      <c r="D75" s="430"/>
      <c r="E75" s="464"/>
      <c r="F75" s="444"/>
      <c r="G75" s="452"/>
      <c r="H75" s="430"/>
      <c r="I75" s="430"/>
      <c r="J75" s="430"/>
    </row>
    <row r="76" spans="1:10" ht="15" x14ac:dyDescent="0.25">
      <c r="A76" s="452"/>
      <c r="B76" s="430"/>
      <c r="C76" s="430"/>
      <c r="D76" s="430"/>
      <c r="E76" s="464"/>
      <c r="F76" s="444"/>
      <c r="G76" s="452"/>
      <c r="H76" s="430"/>
      <c r="I76" s="430"/>
      <c r="J76" s="430"/>
    </row>
    <row r="77" spans="1:10" ht="15" x14ac:dyDescent="0.25">
      <c r="A77" s="452"/>
      <c r="B77" s="430"/>
      <c r="C77" s="430"/>
      <c r="D77" s="430"/>
      <c r="E77" s="464"/>
      <c r="F77" s="444"/>
      <c r="G77" s="452"/>
      <c r="H77" s="430"/>
      <c r="I77" s="430"/>
      <c r="J77" s="430"/>
    </row>
    <row r="78" spans="1:10" ht="15" x14ac:dyDescent="0.25">
      <c r="A78" s="452"/>
      <c r="B78" s="430"/>
      <c r="C78" s="430"/>
      <c r="D78" s="430"/>
      <c r="E78" s="464"/>
      <c r="F78" s="444"/>
      <c r="G78" s="452"/>
      <c r="H78" s="430"/>
      <c r="I78" s="430"/>
      <c r="J78" s="430"/>
    </row>
    <row r="79" spans="1:10" ht="15" x14ac:dyDescent="0.25">
      <c r="A79" s="452"/>
      <c r="B79" s="430"/>
      <c r="C79" s="430"/>
      <c r="D79" s="430"/>
      <c r="E79" s="464"/>
      <c r="F79" s="444"/>
      <c r="G79" s="452"/>
      <c r="H79" s="430"/>
      <c r="I79" s="430"/>
      <c r="J79" s="430"/>
    </row>
    <row r="80" spans="1:10" ht="15" x14ac:dyDescent="0.25">
      <c r="A80" s="452"/>
      <c r="B80" s="430"/>
      <c r="C80" s="430"/>
      <c r="D80" s="430"/>
      <c r="E80" s="464"/>
      <c r="F80" s="444"/>
      <c r="G80" s="753"/>
      <c r="H80" s="452"/>
      <c r="I80" s="760"/>
      <c r="J80" s="760"/>
    </row>
    <row r="81" spans="1:10" ht="15" x14ac:dyDescent="0.25">
      <c r="A81" s="452"/>
      <c r="B81" s="430"/>
      <c r="C81" s="430"/>
      <c r="D81" s="430"/>
      <c r="E81" s="464"/>
      <c r="F81" s="444"/>
      <c r="G81" s="754"/>
      <c r="H81" s="61"/>
      <c r="I81" s="61"/>
      <c r="J81" s="61"/>
    </row>
    <row r="82" spans="1:10" ht="15" x14ac:dyDescent="0.25">
      <c r="A82" s="452"/>
      <c r="B82" s="430"/>
      <c r="C82" s="430"/>
      <c r="D82" s="430"/>
      <c r="E82" s="464"/>
      <c r="F82" s="444"/>
      <c r="G82" s="452"/>
      <c r="H82" s="430"/>
      <c r="I82" s="430"/>
      <c r="J82" s="430"/>
    </row>
    <row r="83" spans="1:10" x14ac:dyDescent="0.2">
      <c r="A83" s="444"/>
      <c r="B83" s="444"/>
      <c r="C83" s="444"/>
      <c r="D83" s="444"/>
      <c r="E83" s="444"/>
      <c r="F83" s="444"/>
      <c r="G83" s="444"/>
      <c r="H83" s="444"/>
      <c r="I83" s="444"/>
      <c r="J83" s="444"/>
    </row>
    <row r="84" spans="1:10" x14ac:dyDescent="0.2">
      <c r="A84" s="444"/>
      <c r="B84" s="444"/>
      <c r="C84" s="444"/>
      <c r="D84" s="444"/>
      <c r="E84" s="444"/>
      <c r="F84" s="444"/>
      <c r="G84" s="444"/>
      <c r="H84" s="444"/>
      <c r="I84" s="444"/>
      <c r="J84" s="444"/>
    </row>
    <row r="85" spans="1:10" x14ac:dyDescent="0.2">
      <c r="A85" s="444"/>
      <c r="B85" s="444"/>
      <c r="C85" s="444"/>
      <c r="D85" s="444"/>
      <c r="E85" s="444"/>
      <c r="F85" s="444"/>
      <c r="G85" s="444"/>
      <c r="H85" s="444"/>
      <c r="I85" s="444"/>
      <c r="J85" s="444"/>
    </row>
    <row r="86" spans="1:10" x14ac:dyDescent="0.2">
      <c r="A86" s="444"/>
      <c r="B86" s="444"/>
      <c r="C86" s="444"/>
      <c r="D86" s="444"/>
      <c r="E86" s="444"/>
      <c r="F86" s="444"/>
      <c r="G86" s="444"/>
      <c r="H86" s="444"/>
      <c r="I86" s="444"/>
      <c r="J86" s="444"/>
    </row>
    <row r="87" spans="1:10" x14ac:dyDescent="0.2">
      <c r="A87" s="444"/>
      <c r="B87" s="444"/>
      <c r="C87" s="444"/>
      <c r="D87" s="444"/>
      <c r="E87" s="444"/>
      <c r="F87" s="444"/>
      <c r="G87" s="444"/>
      <c r="H87" s="444"/>
      <c r="I87" s="444"/>
      <c r="J87" s="444"/>
    </row>
    <row r="88" spans="1:10" x14ac:dyDescent="0.2">
      <c r="A88" s="444"/>
      <c r="B88" s="444"/>
      <c r="C88" s="444"/>
      <c r="D88" s="444"/>
      <c r="E88" s="444"/>
      <c r="F88" s="444"/>
      <c r="G88" s="444"/>
      <c r="H88" s="444"/>
      <c r="I88" s="444"/>
      <c r="J88" s="444"/>
    </row>
    <row r="89" spans="1:10" x14ac:dyDescent="0.2">
      <c r="A89" s="444"/>
      <c r="B89" s="444"/>
      <c r="C89" s="444"/>
      <c r="D89" s="444"/>
      <c r="E89" s="444"/>
      <c r="F89" s="444"/>
      <c r="G89" s="444"/>
      <c r="H89" s="444"/>
      <c r="I89" s="444"/>
      <c r="J89" s="444"/>
    </row>
    <row r="90" spans="1:10" x14ac:dyDescent="0.2">
      <c r="A90" s="444"/>
      <c r="B90" s="444"/>
      <c r="C90" s="444"/>
      <c r="D90" s="444"/>
      <c r="E90" s="444"/>
      <c r="F90" s="444"/>
      <c r="G90" s="444"/>
      <c r="H90" s="444"/>
      <c r="I90" s="444"/>
      <c r="J90" s="444"/>
    </row>
    <row r="91" spans="1:10" x14ac:dyDescent="0.2">
      <c r="A91" s="444"/>
      <c r="B91" s="444"/>
      <c r="C91" s="444"/>
      <c r="D91" s="444"/>
      <c r="E91" s="444"/>
      <c r="F91" s="444"/>
      <c r="G91" s="444"/>
      <c r="H91" s="444"/>
      <c r="I91" s="444"/>
      <c r="J91" s="444"/>
    </row>
    <row r="92" spans="1:10" x14ac:dyDescent="0.2">
      <c r="A92" s="444"/>
      <c r="B92" s="444"/>
      <c r="C92" s="444"/>
      <c r="D92" s="444"/>
      <c r="E92" s="444"/>
      <c r="F92" s="444"/>
      <c r="G92" s="444"/>
      <c r="H92" s="444"/>
      <c r="I92" s="444"/>
      <c r="J92" s="444"/>
    </row>
    <row r="93" spans="1:10" x14ac:dyDescent="0.2">
      <c r="A93" s="444"/>
      <c r="B93" s="444"/>
      <c r="C93" s="444"/>
      <c r="D93" s="444"/>
      <c r="E93" s="444"/>
      <c r="F93" s="444"/>
      <c r="G93" s="444"/>
      <c r="H93" s="444"/>
      <c r="I93" s="444"/>
      <c r="J93" s="444"/>
    </row>
  </sheetData>
  <mergeCells count="18">
    <mergeCell ref="G80:G81"/>
    <mergeCell ref="I80:J80"/>
    <mergeCell ref="B7:E7"/>
    <mergeCell ref="H7:K7"/>
    <mergeCell ref="A21:A22"/>
    <mergeCell ref="B21:E21"/>
    <mergeCell ref="G21:G22"/>
    <mergeCell ref="G36:G37"/>
    <mergeCell ref="A49:A50"/>
    <mergeCell ref="G49:G50"/>
    <mergeCell ref="H49:J49"/>
    <mergeCell ref="B49:D49"/>
    <mergeCell ref="D2:E2"/>
    <mergeCell ref="A7:A8"/>
    <mergeCell ref="G7:G8"/>
    <mergeCell ref="H21:K21"/>
    <mergeCell ref="A36:A37"/>
    <mergeCell ref="B36:D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zoomScaleNormal="100" workbookViewId="0">
      <selection activeCell="P7" sqref="P7"/>
    </sheetView>
  </sheetViews>
  <sheetFormatPr defaultColWidth="8.85546875" defaultRowHeight="12.75" x14ac:dyDescent="0.2"/>
  <cols>
    <col min="1" max="1" width="5.7109375" style="1" customWidth="1"/>
    <col min="2" max="2" width="6.7109375" style="1" customWidth="1"/>
    <col min="3" max="3" width="6.42578125" style="1" customWidth="1"/>
    <col min="4" max="5" width="6.5703125" style="1" customWidth="1"/>
    <col min="6" max="6" width="6.7109375" style="1" customWidth="1"/>
    <col min="7" max="7" width="6.42578125" style="1" customWidth="1"/>
    <col min="8" max="8" width="6.28515625" style="1" customWidth="1"/>
    <col min="9" max="9" width="0.42578125" style="1" customWidth="1"/>
    <col min="10" max="10" width="5.5703125" style="1" customWidth="1"/>
    <col min="11" max="11" width="6.28515625" style="1" customWidth="1"/>
    <col min="12" max="15" width="6.42578125" style="274" customWidth="1"/>
    <col min="16" max="16" width="6.5703125" style="274" customWidth="1"/>
    <col min="17" max="17" width="6.42578125" style="1" customWidth="1"/>
    <col min="18" max="18" width="0.42578125" style="1" customWidth="1"/>
    <col min="19" max="19" width="7" style="1" customWidth="1"/>
    <col min="20" max="20" width="4.7109375" style="1" customWidth="1"/>
    <col min="21" max="21" width="6.28515625" style="1" customWidth="1"/>
    <col min="22" max="22" width="2.5703125" style="1" customWidth="1"/>
    <col min="23" max="23" width="4.28515625" style="1" customWidth="1"/>
    <col min="24" max="24" width="3.28515625" style="1" customWidth="1"/>
    <col min="25" max="25" width="1.85546875" style="1" customWidth="1"/>
    <col min="26" max="26" width="4.85546875" style="1" customWidth="1"/>
    <col min="27" max="27" width="1.28515625" style="1" customWidth="1"/>
    <col min="28" max="28" width="6.85546875" style="1" customWidth="1"/>
    <col min="29" max="29" width="7.85546875" style="1" customWidth="1"/>
    <col min="30" max="16384" width="8.85546875" style="1"/>
  </cols>
  <sheetData>
    <row r="1" spans="1:51" ht="19.5" x14ac:dyDescent="0.25">
      <c r="A1" s="143" t="s">
        <v>171</v>
      </c>
      <c r="B1" s="75"/>
      <c r="C1" s="44"/>
      <c r="D1" s="44"/>
      <c r="E1" s="44"/>
      <c r="F1" s="45"/>
      <c r="G1" s="45"/>
      <c r="H1" s="44"/>
      <c r="I1" s="708" t="s">
        <v>77</v>
      </c>
      <c r="J1" s="708"/>
      <c r="K1" s="708"/>
      <c r="L1" s="708"/>
      <c r="M1" s="708"/>
      <c r="N1" s="708"/>
      <c r="O1" s="708"/>
      <c r="P1" s="708"/>
      <c r="Q1" s="708"/>
      <c r="R1" s="44"/>
      <c r="S1" s="44"/>
      <c r="T1" s="44"/>
      <c r="U1" s="44"/>
      <c r="V1" s="44"/>
      <c r="W1" s="44"/>
      <c r="X1" s="44"/>
      <c r="Y1" s="44"/>
      <c r="Z1" s="44"/>
      <c r="AA1" s="44"/>
      <c r="AB1" s="156"/>
    </row>
    <row r="2" spans="1:51" ht="15" x14ac:dyDescent="0.2">
      <c r="B2" s="48"/>
      <c r="C2" s="49"/>
      <c r="D2" s="49"/>
      <c r="E2" s="49"/>
      <c r="F2" s="50"/>
      <c r="G2" s="50"/>
      <c r="H2" s="49"/>
      <c r="I2" s="49"/>
      <c r="J2" s="49"/>
      <c r="K2" s="49"/>
      <c r="L2" s="272"/>
      <c r="M2" s="272"/>
      <c r="N2" s="272"/>
      <c r="O2" s="272"/>
      <c r="P2" s="272"/>
      <c r="Q2" s="49"/>
      <c r="R2" s="49"/>
      <c r="S2" s="49"/>
      <c r="T2" s="49"/>
      <c r="U2" s="49"/>
      <c r="V2" s="49"/>
      <c r="W2" s="49"/>
      <c r="X2" s="76"/>
      <c r="Y2" s="43"/>
      <c r="AB2" s="634" t="s">
        <v>416</v>
      </c>
    </row>
    <row r="3" spans="1:51" ht="3" customHeight="1" thickBot="1" x14ac:dyDescent="0.25">
      <c r="A3" s="77"/>
      <c r="B3" s="77"/>
      <c r="C3" s="43"/>
      <c r="D3" s="43"/>
      <c r="E3" s="43"/>
      <c r="F3" s="43"/>
      <c r="G3" s="43"/>
      <c r="H3" s="43"/>
      <c r="I3" s="43"/>
      <c r="J3" s="43"/>
      <c r="K3" s="43"/>
      <c r="L3" s="273"/>
      <c r="M3" s="273"/>
      <c r="N3" s="273"/>
      <c r="O3" s="273"/>
      <c r="P3" s="27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51" ht="14.25" thickTop="1" thickBot="1" x14ac:dyDescent="0.25">
      <c r="B4" s="78" t="s">
        <v>173</v>
      </c>
      <c r="C4" s="618" t="s">
        <v>174</v>
      </c>
      <c r="D4" s="619"/>
      <c r="E4" s="619"/>
      <c r="F4" s="619"/>
      <c r="G4" s="619"/>
      <c r="H4" s="620"/>
      <c r="J4" s="78" t="s">
        <v>173</v>
      </c>
      <c r="K4" s="705" t="s">
        <v>174</v>
      </c>
      <c r="L4" s="706"/>
      <c r="M4" s="706"/>
      <c r="N4" s="706"/>
      <c r="O4" s="706"/>
      <c r="P4" s="706"/>
      <c r="Q4" s="707"/>
      <c r="S4" s="43"/>
      <c r="T4" s="43"/>
      <c r="U4" s="43"/>
      <c r="V4" s="43"/>
      <c r="W4" s="43"/>
      <c r="X4" s="43"/>
      <c r="Y4" s="43"/>
      <c r="Z4" s="43"/>
      <c r="AA4" s="43"/>
    </row>
    <row r="5" spans="1:51" ht="14.25" thickTop="1" thickBot="1" x14ac:dyDescent="0.25">
      <c r="B5" s="78">
        <v>11</v>
      </c>
      <c r="C5" s="298">
        <v>300</v>
      </c>
      <c r="D5" s="303">
        <v>400</v>
      </c>
      <c r="E5" s="303">
        <v>450</v>
      </c>
      <c r="F5" s="304">
        <v>500</v>
      </c>
      <c r="G5" s="304">
        <v>600</v>
      </c>
      <c r="H5" s="301">
        <v>900</v>
      </c>
      <c r="J5" s="78" t="s">
        <v>2</v>
      </c>
      <c r="K5" s="300">
        <v>200</v>
      </c>
      <c r="L5" s="299">
        <v>300</v>
      </c>
      <c r="M5" s="299">
        <v>400</v>
      </c>
      <c r="N5" s="299">
        <v>450</v>
      </c>
      <c r="O5" s="302">
        <v>500</v>
      </c>
      <c r="P5" s="302">
        <v>600</v>
      </c>
      <c r="Q5" s="301">
        <v>900</v>
      </c>
      <c r="S5" s="43"/>
      <c r="T5" s="43"/>
      <c r="U5" s="43"/>
      <c r="V5" s="43"/>
      <c r="W5" s="43"/>
      <c r="X5" s="43"/>
      <c r="Y5" s="43"/>
      <c r="Z5" s="43"/>
      <c r="AA5" s="43"/>
    </row>
    <row r="6" spans="1:51" ht="15.75" thickTop="1" x14ac:dyDescent="0.25">
      <c r="B6" s="83">
        <v>400</v>
      </c>
      <c r="C6" s="306">
        <f>69.96*(CONSTCV)</f>
        <v>69.959999999999994</v>
      </c>
      <c r="D6" s="307">
        <f>73.36*(CONSTCV)</f>
        <v>73.36</v>
      </c>
      <c r="E6" s="307">
        <f>73.85*(CONSTCV)</f>
        <v>73.849999999999994</v>
      </c>
      <c r="F6" s="307">
        <f>74.23*(CONSTCV)</f>
        <v>74.23</v>
      </c>
      <c r="G6" s="307">
        <f>82.5*(CONSTCV)</f>
        <v>82.5</v>
      </c>
      <c r="H6" s="313">
        <f>90.27*(CONSTCV)</f>
        <v>90.27</v>
      </c>
      <c r="J6" s="83">
        <v>400</v>
      </c>
      <c r="K6" s="312"/>
      <c r="L6" s="319">
        <f>81.58*(CONSTCV)</f>
        <v>81.58</v>
      </c>
      <c r="M6" s="307">
        <f>87.89*(CONSTCV)</f>
        <v>87.89</v>
      </c>
      <c r="N6" s="307">
        <f>91.88*(CONSTCV)</f>
        <v>91.88</v>
      </c>
      <c r="O6" s="307">
        <f>98.79*(CONSTCV)</f>
        <v>98.79</v>
      </c>
      <c r="P6" s="307">
        <f>103.98*(CONSTCV)</f>
        <v>103.98</v>
      </c>
      <c r="Q6" s="313">
        <f>135.96*(CONSTCV)</f>
        <v>135.96</v>
      </c>
      <c r="S6" s="43"/>
      <c r="T6" s="43"/>
      <c r="U6" s="43"/>
      <c r="V6" s="43"/>
      <c r="W6" s="43"/>
      <c r="X6" s="43"/>
      <c r="Y6" s="43"/>
      <c r="Z6" s="43"/>
      <c r="AA6" s="43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</row>
    <row r="7" spans="1:51" ht="15" x14ac:dyDescent="0.25">
      <c r="B7" s="84">
        <v>500</v>
      </c>
      <c r="C7" s="308">
        <f>72.52*(CONSTCV)</f>
        <v>72.52</v>
      </c>
      <c r="D7" s="309">
        <f>76.19*(CONSTCV)</f>
        <v>76.19</v>
      </c>
      <c r="E7" s="309">
        <f>76.59*(CONSTCV)</f>
        <v>76.59</v>
      </c>
      <c r="F7" s="309">
        <f>78.32*(CONSTCV)</f>
        <v>78.319999999999993</v>
      </c>
      <c r="G7" s="309">
        <f>83.97*(CONSTCV)</f>
        <v>83.97</v>
      </c>
      <c r="H7" s="314">
        <f>97.09*(CONSTCV)</f>
        <v>97.09</v>
      </c>
      <c r="J7" s="84">
        <v>500</v>
      </c>
      <c r="K7" s="251"/>
      <c r="L7" s="320">
        <f>90.04*(CONSTCV)</f>
        <v>90.04</v>
      </c>
      <c r="M7" s="309">
        <f>95.75*(CONSTCV)</f>
        <v>95.75</v>
      </c>
      <c r="N7" s="309">
        <f>100.07*(CONSTCV)</f>
        <v>100.07</v>
      </c>
      <c r="O7" s="309">
        <f>108.14*(CONSTCV)</f>
        <v>108.14</v>
      </c>
      <c r="P7" s="309">
        <f>113.85*(CONSTCV)</f>
        <v>113.85</v>
      </c>
      <c r="Q7" s="314">
        <f>149.16*(CONSTCV)</f>
        <v>149.16</v>
      </c>
      <c r="S7" s="43"/>
      <c r="T7" s="43"/>
      <c r="U7" s="43"/>
      <c r="V7" s="43"/>
      <c r="W7" s="43"/>
      <c r="X7" s="43"/>
      <c r="Y7" s="43"/>
      <c r="Z7" s="43"/>
      <c r="AA7" s="43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</row>
    <row r="8" spans="1:51" ht="15" x14ac:dyDescent="0.25">
      <c r="B8" s="84">
        <v>600</v>
      </c>
      <c r="C8" s="308">
        <f>75.33*(CONSTCV)</f>
        <v>75.33</v>
      </c>
      <c r="D8" s="309">
        <f>79.85*(CONSTCV)</f>
        <v>79.849999999999994</v>
      </c>
      <c r="E8" s="309">
        <f>80.49*(CONSTCV)</f>
        <v>80.489999999999995</v>
      </c>
      <c r="F8" s="309">
        <f>82.67*(CONSTCV)</f>
        <v>82.67</v>
      </c>
      <c r="G8" s="309">
        <f>88.49*(CONSTCV)</f>
        <v>88.49</v>
      </c>
      <c r="H8" s="314">
        <f>104.51*(CONSTCV)</f>
        <v>104.51</v>
      </c>
      <c r="J8" s="84">
        <v>600</v>
      </c>
      <c r="K8" s="321">
        <f>84.84*(CONSTCV)</f>
        <v>84.84</v>
      </c>
      <c r="L8" s="309">
        <f>97.09*(CONSTCV)</f>
        <v>97.09</v>
      </c>
      <c r="M8" s="309">
        <f>103.25*(CONSTCV)</f>
        <v>103.25</v>
      </c>
      <c r="N8" s="309">
        <f>108.45*(CONSTCV)</f>
        <v>108.45</v>
      </c>
      <c r="O8" s="309">
        <f>117.34*(CONSTCV)</f>
        <v>117.34</v>
      </c>
      <c r="P8" s="309">
        <f>123.94*(CONSTCV)</f>
        <v>123.94</v>
      </c>
      <c r="Q8" s="314">
        <f>162.81*(CONSTCV)</f>
        <v>162.81</v>
      </c>
      <c r="S8" s="43"/>
      <c r="T8" s="43"/>
      <c r="U8" s="43"/>
      <c r="V8" s="43"/>
      <c r="W8" s="43"/>
      <c r="X8" s="43"/>
      <c r="Y8" s="43"/>
      <c r="Z8" s="43"/>
      <c r="AA8" s="43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</row>
    <row r="9" spans="1:51" ht="15.75" thickBot="1" x14ac:dyDescent="0.3">
      <c r="B9" s="84">
        <v>700</v>
      </c>
      <c r="C9" s="308">
        <f>77.47*(CONSTCV)</f>
        <v>77.47</v>
      </c>
      <c r="D9" s="309">
        <f>83.19*(CONSTCV)</f>
        <v>83.19</v>
      </c>
      <c r="E9" s="309">
        <f>84.5*(CONSTCV)</f>
        <v>84.5</v>
      </c>
      <c r="F9" s="309">
        <f>87.8*(CONSTCV)</f>
        <v>87.8</v>
      </c>
      <c r="G9" s="309">
        <f>93.08*(CONSTCV)</f>
        <v>93.08</v>
      </c>
      <c r="H9" s="314">
        <f>111.18*(CONSTCV)</f>
        <v>111.18</v>
      </c>
      <c r="J9" s="84">
        <v>700</v>
      </c>
      <c r="K9" s="308">
        <f>91.11*(CONSTCV)</f>
        <v>91.11</v>
      </c>
      <c r="L9" s="309">
        <f>103.84*(CONSTCV)</f>
        <v>103.84</v>
      </c>
      <c r="M9" s="309">
        <f>111.32*(CONSTCV)</f>
        <v>111.32</v>
      </c>
      <c r="N9" s="309">
        <f>116.97*(CONSTCV)</f>
        <v>116.97</v>
      </c>
      <c r="O9" s="309">
        <f>126.83*(CONSTCV)</f>
        <v>126.83</v>
      </c>
      <c r="P9" s="309">
        <f>134.17*(CONSTCV)</f>
        <v>134.16999999999999</v>
      </c>
      <c r="Q9" s="314">
        <f>180.53*(CONSTCV)</f>
        <v>180.53</v>
      </c>
      <c r="S9" s="43"/>
      <c r="T9" s="43"/>
      <c r="U9" s="43"/>
      <c r="V9" s="85"/>
      <c r="Y9" s="85" t="s">
        <v>172</v>
      </c>
      <c r="Z9" s="652">
        <v>0</v>
      </c>
      <c r="AA9" s="43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</row>
    <row r="10" spans="1:51" ht="16.5" thickTop="1" thickBot="1" x14ac:dyDescent="0.3">
      <c r="B10" s="84">
        <v>800</v>
      </c>
      <c r="C10" s="308">
        <f>79.85*(CONSTCV)</f>
        <v>79.849999999999994</v>
      </c>
      <c r="D10" s="309">
        <f>85.74*(CONSTCV)</f>
        <v>85.74</v>
      </c>
      <c r="E10" s="309">
        <f>87.64*(CONSTCV)</f>
        <v>87.64</v>
      </c>
      <c r="F10" s="309">
        <f>91.29*(CONSTCV)</f>
        <v>91.29</v>
      </c>
      <c r="G10" s="309">
        <f>97.52*(CONSTCV)</f>
        <v>97.52</v>
      </c>
      <c r="H10" s="314">
        <f>117.78*(CONSTCV)</f>
        <v>117.78</v>
      </c>
      <c r="J10" s="84">
        <v>800</v>
      </c>
      <c r="K10" s="308">
        <f>97.61*(CONSTCV)</f>
        <v>97.61</v>
      </c>
      <c r="L10" s="309">
        <f>110.67*(CONSTCV)</f>
        <v>110.67</v>
      </c>
      <c r="M10" s="309">
        <f>119.05*(CONSTCV)</f>
        <v>119.05</v>
      </c>
      <c r="N10" s="309">
        <f>125.57*(CONSTCV)</f>
        <v>125.57</v>
      </c>
      <c r="O10" s="309">
        <f>136.33*(CONSTCV)</f>
        <v>136.33000000000001</v>
      </c>
      <c r="P10" s="309">
        <f>144.63*(CONSTCV)</f>
        <v>144.63</v>
      </c>
      <c r="Q10" s="314">
        <f>198.11*(CONSTCV)</f>
        <v>198.11</v>
      </c>
      <c r="S10" s="392" t="s">
        <v>175</v>
      </c>
      <c r="T10" s="146"/>
      <c r="U10" s="140"/>
      <c r="V10" s="87"/>
      <c r="W10" s="87"/>
      <c r="X10" s="87"/>
      <c r="Y10" s="146"/>
      <c r="Z10" s="162"/>
      <c r="AA10" s="157"/>
      <c r="AB10" s="88" t="s">
        <v>170</v>
      </c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</row>
    <row r="11" spans="1:51" ht="15.75" thickTop="1" x14ac:dyDescent="0.25">
      <c r="B11" s="84">
        <v>900</v>
      </c>
      <c r="C11" s="308">
        <f>83.27*(CONSTCV)</f>
        <v>83.27</v>
      </c>
      <c r="D11" s="309">
        <f>90.01*(CONSTCV)</f>
        <v>90.01</v>
      </c>
      <c r="E11" s="309">
        <f>92.04*(CONSTCV)</f>
        <v>92.04</v>
      </c>
      <c r="F11" s="309">
        <f>96.07*(CONSTCV)</f>
        <v>96.07</v>
      </c>
      <c r="G11" s="309">
        <f>102.21*(CONSTCV)</f>
        <v>102.21</v>
      </c>
      <c r="H11" s="314">
        <f>124.16*(CONSTCV)</f>
        <v>124.16</v>
      </c>
      <c r="J11" s="84">
        <v>900</v>
      </c>
      <c r="K11" s="308">
        <f>103.54*(CONSTCV)</f>
        <v>103.54</v>
      </c>
      <c r="L11" s="309">
        <f>117.04*(CONSTCV)</f>
        <v>117.04</v>
      </c>
      <c r="M11" s="309">
        <f>126.61*(CONSTCV)</f>
        <v>126.61</v>
      </c>
      <c r="N11" s="309">
        <f>133.98*(CONSTCV)</f>
        <v>133.97999999999999</v>
      </c>
      <c r="O11" s="309">
        <f>145.82*(CONSTCV)</f>
        <v>145.82</v>
      </c>
      <c r="P11" s="309">
        <f>155.09*(CONSTCV)</f>
        <v>155.09</v>
      </c>
      <c r="Q11" s="314">
        <f>215.54*(CONSTCV)</f>
        <v>215.54</v>
      </c>
      <c r="S11" s="89" t="s">
        <v>193</v>
      </c>
      <c r="T11" s="144"/>
      <c r="U11" s="90"/>
      <c r="V11" s="90"/>
      <c r="W11" s="90"/>
      <c r="X11" s="90"/>
      <c r="Y11" s="144"/>
      <c r="Z11" s="163"/>
      <c r="AA11" s="165"/>
      <c r="AB11" s="295">
        <f>9.14*(CONSTCV)</f>
        <v>9.14</v>
      </c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</row>
    <row r="12" spans="1:51" ht="15" x14ac:dyDescent="0.25">
      <c r="B12" s="84">
        <v>1000</v>
      </c>
      <c r="C12" s="308">
        <f>85.74*(CONSTCV)</f>
        <v>85.74</v>
      </c>
      <c r="D12" s="309">
        <f>93.07*(CONSTCV)</f>
        <v>93.07</v>
      </c>
      <c r="E12" s="309">
        <f>96.3*(CONSTCV)</f>
        <v>96.3</v>
      </c>
      <c r="F12" s="309">
        <f>101.44*(CONSTCV)</f>
        <v>101.44</v>
      </c>
      <c r="G12" s="309">
        <f>106.96*(CONSTCV)</f>
        <v>106.96</v>
      </c>
      <c r="H12" s="314">
        <f>132.76*(CONSTCV)</f>
        <v>132.76</v>
      </c>
      <c r="J12" s="84">
        <v>1000</v>
      </c>
      <c r="K12" s="308">
        <f>109.47*(CONSTCV)</f>
        <v>109.47</v>
      </c>
      <c r="L12" s="309">
        <f>123.27*(CONSTCV)</f>
        <v>123.27</v>
      </c>
      <c r="M12" s="309">
        <f>134.1*(CONSTCV)</f>
        <v>134.1</v>
      </c>
      <c r="N12" s="309">
        <f>142.2*(CONSTCV)</f>
        <v>142.19999999999999</v>
      </c>
      <c r="O12" s="309">
        <f>155.16*(CONSTCV)</f>
        <v>155.16</v>
      </c>
      <c r="P12" s="309">
        <f>165.55*(CONSTCV)</f>
        <v>165.55</v>
      </c>
      <c r="Q12" s="314">
        <f>232.98*(CONSTCV)</f>
        <v>232.98</v>
      </c>
      <c r="S12" s="89" t="s">
        <v>194</v>
      </c>
      <c r="T12" s="145"/>
      <c r="U12" s="90"/>
      <c r="V12" s="90"/>
      <c r="W12" s="90"/>
      <c r="X12" s="90"/>
      <c r="Y12" s="145"/>
      <c r="Z12" s="164"/>
      <c r="AA12" s="91"/>
      <c r="AB12" s="296">
        <f>4.37*(CONSTCV)</f>
        <v>4.37</v>
      </c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</row>
    <row r="13" spans="1:51" ht="15" x14ac:dyDescent="0.25">
      <c r="B13" s="84">
        <v>1100</v>
      </c>
      <c r="C13" s="308">
        <f>90.7*(CONSTCV)</f>
        <v>90.7</v>
      </c>
      <c r="D13" s="309">
        <f>98.62*(CONSTCV)</f>
        <v>98.62</v>
      </c>
      <c r="E13" s="309">
        <f>101.54*(CONSTCV)</f>
        <v>101.54</v>
      </c>
      <c r="F13" s="309">
        <f>106.64*(CONSTCV)</f>
        <v>106.64</v>
      </c>
      <c r="G13" s="309">
        <f>112.52*(CONSTCV)</f>
        <v>112.52</v>
      </c>
      <c r="H13" s="314">
        <f>141.44*(CONSTCV)</f>
        <v>141.44</v>
      </c>
      <c r="J13" s="84">
        <v>1100</v>
      </c>
      <c r="K13" s="308">
        <f>115.42*(CONSTCV)</f>
        <v>115.42</v>
      </c>
      <c r="L13" s="309">
        <f>129.5*(CONSTCV)</f>
        <v>129.5</v>
      </c>
      <c r="M13" s="309">
        <f>142.4*(CONSTCV)</f>
        <v>142.4</v>
      </c>
      <c r="N13" s="309">
        <f>150.61*(CONSTCV)</f>
        <v>150.61000000000001</v>
      </c>
      <c r="O13" s="309">
        <f>164.52*(CONSTCV)</f>
        <v>164.52</v>
      </c>
      <c r="P13" s="309">
        <f>176.01*(CONSTCV)</f>
        <v>176.01</v>
      </c>
      <c r="Q13" s="314">
        <f>250.91*(CONSTCV)</f>
        <v>250.91</v>
      </c>
      <c r="S13" s="92" t="s">
        <v>195</v>
      </c>
      <c r="T13" s="145"/>
      <c r="U13" s="141"/>
      <c r="V13" s="90"/>
      <c r="W13" s="90"/>
      <c r="X13" s="90"/>
      <c r="Y13" s="145"/>
      <c r="Z13" s="164"/>
      <c r="AA13" s="91"/>
      <c r="AB13" s="296">
        <f>30.33*(CONSTCV)</f>
        <v>30.33</v>
      </c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</row>
    <row r="14" spans="1:51" ht="15" x14ac:dyDescent="0.25">
      <c r="B14" s="84">
        <v>1200</v>
      </c>
      <c r="C14" s="308">
        <f>94.11*(CONSTCV)</f>
        <v>94.11</v>
      </c>
      <c r="D14" s="309">
        <f>102.8*(CONSTCV)</f>
        <v>102.8</v>
      </c>
      <c r="E14" s="309">
        <f>105.96*(CONSTCV)</f>
        <v>105.96</v>
      </c>
      <c r="F14" s="309">
        <f>111.67*(CONSTCV)</f>
        <v>111.67</v>
      </c>
      <c r="G14" s="309">
        <f>118.23*(CONSTCV)</f>
        <v>118.23</v>
      </c>
      <c r="H14" s="314">
        <f>150.04*(CONSTCV)</f>
        <v>150.04</v>
      </c>
      <c r="J14" s="84">
        <v>1200</v>
      </c>
      <c r="K14" s="308">
        <f>121.12*(CONSTCV)</f>
        <v>121.12</v>
      </c>
      <c r="L14" s="309">
        <f>135.65*(CONSTCV)</f>
        <v>135.65</v>
      </c>
      <c r="M14" s="309">
        <f>149.9*(CONSTCV)</f>
        <v>149.9</v>
      </c>
      <c r="N14" s="309">
        <f>159.21*(CONSTCV)</f>
        <v>159.21</v>
      </c>
      <c r="O14" s="309">
        <f>173.93*(CONSTCV)</f>
        <v>173.93</v>
      </c>
      <c r="P14" s="309">
        <f>186.17*(CONSTCV)</f>
        <v>186.17</v>
      </c>
      <c r="Q14" s="314">
        <f>267.97*(CONSTCV)</f>
        <v>267.97000000000003</v>
      </c>
      <c r="S14" s="93" t="s">
        <v>196</v>
      </c>
      <c r="T14" s="145"/>
      <c r="U14" s="142"/>
      <c r="V14" s="90"/>
      <c r="W14" s="90"/>
      <c r="X14" s="90"/>
      <c r="Y14" s="145"/>
      <c r="Z14" s="90"/>
      <c r="AA14" s="101"/>
      <c r="AB14" s="296">
        <f>22.08*(CONSTCV)</f>
        <v>22.08</v>
      </c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</row>
    <row r="15" spans="1:51" ht="15" x14ac:dyDescent="0.25">
      <c r="B15" s="84">
        <v>1400</v>
      </c>
      <c r="C15" s="308">
        <f>107.58*(CONSTCV)</f>
        <v>107.58</v>
      </c>
      <c r="D15" s="309">
        <f>117.74*(CONSTCV)</f>
        <v>117.74</v>
      </c>
      <c r="E15" s="309">
        <f>118.55*(CONSTCV)</f>
        <v>118.55</v>
      </c>
      <c r="F15" s="309">
        <f>122.42*(CONSTCV)</f>
        <v>122.42</v>
      </c>
      <c r="G15" s="309">
        <f>129.72*(CONSTCV)</f>
        <v>129.72</v>
      </c>
      <c r="H15" s="314">
        <f>168.15*(CONSTCV)</f>
        <v>168.15</v>
      </c>
      <c r="J15" s="84">
        <v>1400</v>
      </c>
      <c r="K15" s="308">
        <f>132.91*(CONSTCV)</f>
        <v>132.91</v>
      </c>
      <c r="L15" s="309">
        <f>148.11*(CONSTCV)</f>
        <v>148.11000000000001</v>
      </c>
      <c r="M15" s="309">
        <f>165.17*(CONSTCV)</f>
        <v>165.17</v>
      </c>
      <c r="N15" s="309">
        <f>175.83*(CONSTCV)</f>
        <v>175.83</v>
      </c>
      <c r="O15" s="309">
        <f>192.47*(CONSTCV)</f>
        <v>192.47</v>
      </c>
      <c r="P15" s="309">
        <f>207.01*(CONSTCV)</f>
        <v>207.01</v>
      </c>
      <c r="Q15" s="314">
        <f>302.54*(CONSTCV)</f>
        <v>302.54000000000002</v>
      </c>
      <c r="S15" s="93" t="s">
        <v>197</v>
      </c>
      <c r="T15" s="145"/>
      <c r="U15" s="142"/>
      <c r="V15" s="90"/>
      <c r="W15" s="90"/>
      <c r="X15" s="90"/>
      <c r="Y15" s="145"/>
      <c r="Z15" s="90"/>
      <c r="AA15" s="101"/>
      <c r="AB15" s="296">
        <f>1.86*(CONSTCV)</f>
        <v>1.86</v>
      </c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</row>
    <row r="16" spans="1:51" ht="15" x14ac:dyDescent="0.25">
      <c r="B16" s="84">
        <v>1600</v>
      </c>
      <c r="C16" s="308">
        <f>114.15*(CONSTCV)</f>
        <v>114.15</v>
      </c>
      <c r="D16" s="309">
        <f>125.67*(CONSTCV)</f>
        <v>125.67</v>
      </c>
      <c r="E16" s="309">
        <f>127.7*(CONSTCV)</f>
        <v>127.7</v>
      </c>
      <c r="F16" s="309">
        <f>133.18*(CONSTCV)</f>
        <v>133.18</v>
      </c>
      <c r="G16" s="309">
        <f>144.63*(CONSTCV)</f>
        <v>144.63</v>
      </c>
      <c r="H16" s="314">
        <f>185.65*(CONSTCV)</f>
        <v>185.65</v>
      </c>
      <c r="J16" s="84">
        <v>1600</v>
      </c>
      <c r="K16" s="308">
        <f>144.93*(CONSTCV)</f>
        <v>144.93</v>
      </c>
      <c r="L16" s="309">
        <f>160.87*(CONSTCV)</f>
        <v>160.87</v>
      </c>
      <c r="M16" s="309">
        <f>180.53*(CONSTCV)</f>
        <v>180.53</v>
      </c>
      <c r="N16" s="309">
        <f>192.84*(CONSTCV)</f>
        <v>192.84</v>
      </c>
      <c r="O16" s="309">
        <f>211.76*(CONSTCV)</f>
        <v>211.76</v>
      </c>
      <c r="P16" s="309">
        <f>227.85*(CONSTCV)</f>
        <v>227.85</v>
      </c>
      <c r="Q16" s="314">
        <f>337.47*(CONSTCV)</f>
        <v>337.47</v>
      </c>
      <c r="S16" s="93" t="s">
        <v>198</v>
      </c>
      <c r="T16" s="145"/>
      <c r="U16" s="142"/>
      <c r="V16" s="90"/>
      <c r="W16" s="90"/>
      <c r="X16" s="90"/>
      <c r="Y16" s="145"/>
      <c r="Z16" s="90"/>
      <c r="AA16" s="101"/>
      <c r="AB16" s="296">
        <f>8.25*(CONSTCV)</f>
        <v>8.25</v>
      </c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</row>
    <row r="17" spans="1:51" ht="15" x14ac:dyDescent="0.25">
      <c r="B17" s="84">
        <v>1800</v>
      </c>
      <c r="C17" s="308">
        <f>124.82*(CONSTCV)</f>
        <v>124.82</v>
      </c>
      <c r="D17" s="309">
        <f>137.36*(CONSTCV)</f>
        <v>137.36000000000001</v>
      </c>
      <c r="E17" s="309">
        <f>138.84*(CONSTCV)</f>
        <v>138.84</v>
      </c>
      <c r="F17" s="309">
        <f>143.75*(CONSTCV)</f>
        <v>143.75</v>
      </c>
      <c r="G17" s="309">
        <f>159.17*(CONSTCV)</f>
        <v>159.16999999999999</v>
      </c>
      <c r="H17" s="314">
        <f>204.04*(CONSTCV)</f>
        <v>204.04</v>
      </c>
      <c r="J17" s="84">
        <v>1800</v>
      </c>
      <c r="K17" s="308">
        <f>157.54*(CONSTCV)</f>
        <v>157.54</v>
      </c>
      <c r="L17" s="309">
        <f>174.3*(CONSTCV)</f>
        <v>174.3</v>
      </c>
      <c r="M17" s="309">
        <f>196.32*(CONSTCV)</f>
        <v>196.32</v>
      </c>
      <c r="N17" s="309">
        <f>209.31*(CONSTCV)</f>
        <v>209.31</v>
      </c>
      <c r="O17" s="309">
        <f>229.85*(CONSTCV)</f>
        <v>229.85</v>
      </c>
      <c r="P17" s="309">
        <f>248.61*(CONSTCV)</f>
        <v>248.61</v>
      </c>
      <c r="Q17" s="314">
        <f>372.18*(CONSTCV)</f>
        <v>372.18</v>
      </c>
      <c r="S17" s="166" t="s">
        <v>199</v>
      </c>
      <c r="T17" s="167"/>
      <c r="U17" s="168"/>
      <c r="V17" s="169"/>
      <c r="W17" s="169"/>
      <c r="X17" s="169"/>
      <c r="Y17" s="167"/>
      <c r="Z17" s="170"/>
      <c r="AA17" s="171"/>
      <c r="AB17" s="296">
        <f>9.14*(CONSTCV)</f>
        <v>9.14</v>
      </c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</row>
    <row r="18" spans="1:51" ht="15" x14ac:dyDescent="0.25">
      <c r="B18" s="84">
        <v>2000</v>
      </c>
      <c r="C18" s="308">
        <f>131.29*(CONSTCV)</f>
        <v>131.29</v>
      </c>
      <c r="D18" s="309">
        <f>145.03*(CONSTCV)</f>
        <v>145.03</v>
      </c>
      <c r="E18" s="309">
        <f>148.12*(CONSTCV)</f>
        <v>148.12</v>
      </c>
      <c r="F18" s="309">
        <f>155.02*(CONSTCV)</f>
        <v>155.02000000000001</v>
      </c>
      <c r="G18" s="309">
        <f>169.7*(CONSTCV)</f>
        <v>169.7</v>
      </c>
      <c r="H18" s="314">
        <f>221.54*(CONSTCV)</f>
        <v>221.54</v>
      </c>
      <c r="J18" s="84">
        <v>2000</v>
      </c>
      <c r="K18" s="308">
        <f>168.88*(CONSTCV)</f>
        <v>168.88</v>
      </c>
      <c r="L18" s="309">
        <f>186.24*(CONSTCV)</f>
        <v>186.24</v>
      </c>
      <c r="M18" s="309">
        <f>211.39*(CONSTCV)</f>
        <v>211.39</v>
      </c>
      <c r="N18" s="309">
        <f>226.24*(CONSTCV)</f>
        <v>226.24</v>
      </c>
      <c r="O18" s="309">
        <f>249.06*(CONSTCV)</f>
        <v>249.06</v>
      </c>
      <c r="P18" s="309">
        <f>269.31*(CONSTCV)</f>
        <v>269.31</v>
      </c>
      <c r="Q18" s="314">
        <f>407.93*(CONSTCV)</f>
        <v>407.93</v>
      </c>
      <c r="S18" s="397" t="s">
        <v>200</v>
      </c>
      <c r="T18" s="145"/>
      <c r="U18" s="145"/>
      <c r="V18" s="145"/>
      <c r="W18" s="145"/>
      <c r="X18" s="145"/>
      <c r="Y18" s="145"/>
      <c r="Z18" s="145"/>
      <c r="AA18" s="203"/>
      <c r="AB18" s="296">
        <f>15.44*(CONSTCV)</f>
        <v>15.44</v>
      </c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</row>
    <row r="19" spans="1:51" ht="15" x14ac:dyDescent="0.25">
      <c r="B19" s="84">
        <v>2300</v>
      </c>
      <c r="C19" s="308">
        <f>143.16*(CONSTCV)</f>
        <v>143.16</v>
      </c>
      <c r="D19" s="309">
        <f>159.1*(CONSTCV)</f>
        <v>159.1</v>
      </c>
      <c r="E19" s="309">
        <f>162.78*(CONSTCV)</f>
        <v>162.78</v>
      </c>
      <c r="F19" s="309">
        <f>170.96*(CONSTCV)</f>
        <v>170.96</v>
      </c>
      <c r="G19" s="309">
        <f>187.51*(CONSTCV)</f>
        <v>187.51</v>
      </c>
      <c r="H19" s="314">
        <f>243.35*(CONSTCV)</f>
        <v>243.35</v>
      </c>
      <c r="J19" s="84">
        <v>2300</v>
      </c>
      <c r="K19" s="308">
        <f>186.98*(CONSTCV)</f>
        <v>186.98</v>
      </c>
      <c r="L19" s="309">
        <f>205.52*(CONSTCV)</f>
        <v>205.52</v>
      </c>
      <c r="M19" s="309">
        <f>234.75*(CONSTCV)</f>
        <v>234.75</v>
      </c>
      <c r="N19" s="309">
        <f>251.49*(CONSTCV)</f>
        <v>251.49</v>
      </c>
      <c r="O19" s="309">
        <f>275.17*(CONSTCV)</f>
        <v>275.17</v>
      </c>
      <c r="P19" s="309">
        <f>300.83*(CONSTCV)</f>
        <v>300.83</v>
      </c>
      <c r="Q19" s="314">
        <f>456.44*(CONSTCV)</f>
        <v>456.44</v>
      </c>
      <c r="S19" s="397" t="s">
        <v>394</v>
      </c>
      <c r="T19" s="145"/>
      <c r="U19" s="145"/>
      <c r="V19" s="145"/>
      <c r="W19" s="145"/>
      <c r="X19" s="145"/>
      <c r="Y19" s="145"/>
      <c r="Z19" s="145"/>
      <c r="AA19" s="145"/>
      <c r="AB19" s="563">
        <f>2.26*(CONSTCV)</f>
        <v>2.2599999999999998</v>
      </c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</row>
    <row r="20" spans="1:51" ht="15" x14ac:dyDescent="0.25">
      <c r="B20" s="84">
        <v>2600</v>
      </c>
      <c r="C20" s="308">
        <f>153.31*(CONSTCV)</f>
        <v>153.31</v>
      </c>
      <c r="D20" s="309">
        <f>173.27*(CONSTCV)</f>
        <v>173.27</v>
      </c>
      <c r="E20" s="309">
        <f>177.77*(CONSTCV)</f>
        <v>177.77</v>
      </c>
      <c r="F20" s="309">
        <f>187.18*(CONSTCV)</f>
        <v>187.18</v>
      </c>
      <c r="G20" s="309">
        <f>208.78*(CONSTCV)</f>
        <v>208.78</v>
      </c>
      <c r="H20" s="314">
        <f>267.23*(CONSTCV)</f>
        <v>267.23</v>
      </c>
      <c r="J20" s="84">
        <v>2600</v>
      </c>
      <c r="K20" s="308">
        <f>207.97*(CONSTCV)</f>
        <v>207.97</v>
      </c>
      <c r="L20" s="309">
        <f>227.7*(CONSTCV)</f>
        <v>227.7</v>
      </c>
      <c r="M20" s="309">
        <f>257.96*(CONSTCV)</f>
        <v>257.95999999999998</v>
      </c>
      <c r="N20" s="309">
        <f>276.56*(CONSTCV)</f>
        <v>276.56</v>
      </c>
      <c r="O20" s="309">
        <f>305.21*(CONSTCV)</f>
        <v>305.20999999999998</v>
      </c>
      <c r="P20" s="309">
        <f>331.68*(CONSTCV)</f>
        <v>331.68</v>
      </c>
      <c r="Q20" s="314">
        <f>504.21*(CONSTCV)</f>
        <v>504.21</v>
      </c>
      <c r="S20" s="562" t="s">
        <v>201</v>
      </c>
      <c r="T20" s="145"/>
      <c r="U20" s="145"/>
      <c r="V20" s="145"/>
      <c r="W20" s="145"/>
      <c r="X20" s="145"/>
      <c r="Y20" s="145"/>
      <c r="Z20" s="145"/>
      <c r="AA20" s="203"/>
      <c r="AB20" s="296">
        <f>35.59*(CONSTCV)</f>
        <v>35.590000000000003</v>
      </c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</row>
    <row r="21" spans="1:51" ht="15.75" thickBot="1" x14ac:dyDescent="0.3">
      <c r="B21" s="86">
        <v>3000</v>
      </c>
      <c r="C21" s="310">
        <f>172.08*(CONSTCV)</f>
        <v>172.08</v>
      </c>
      <c r="D21" s="311">
        <f>192.8*(CONSTCV)</f>
        <v>192.8</v>
      </c>
      <c r="E21" s="311">
        <f>198*(CONSTCV)</f>
        <v>198</v>
      </c>
      <c r="F21" s="311">
        <f>208.93*(CONSTCV)</f>
        <v>208.93</v>
      </c>
      <c r="G21" s="311">
        <f>230.07*(CONSTCV)</f>
        <v>230.07</v>
      </c>
      <c r="H21" s="315">
        <f>299.36*(CONSTCV)</f>
        <v>299.36</v>
      </c>
      <c r="J21" s="86">
        <v>3000</v>
      </c>
      <c r="K21" s="310">
        <f>228.82*(CONSTCV)</f>
        <v>228.82</v>
      </c>
      <c r="L21" s="311">
        <f>249.88*(CONSTCV)</f>
        <v>249.88</v>
      </c>
      <c r="M21" s="311">
        <f>288.96*(CONSTCV)</f>
        <v>288.95999999999998</v>
      </c>
      <c r="N21" s="311">
        <f>310.47*(CONSTCV)</f>
        <v>310.47000000000003</v>
      </c>
      <c r="O21" s="311">
        <f>342.74*(CONSTCV)</f>
        <v>342.74</v>
      </c>
      <c r="P21" s="311">
        <f>373.14*(CONSTCV)</f>
        <v>373.14</v>
      </c>
      <c r="Q21" s="315">
        <f>568.29*(CONSTCV)</f>
        <v>568.29</v>
      </c>
      <c r="S21" s="172" t="s">
        <v>202</v>
      </c>
      <c r="T21" s="147"/>
      <c r="U21" s="173"/>
      <c r="V21" s="174"/>
      <c r="W21" s="174"/>
      <c r="X21" s="174"/>
      <c r="Y21" s="147"/>
      <c r="Z21" s="175"/>
      <c r="AA21" s="176"/>
      <c r="AB21" s="561">
        <f>5.42*(CONSTCV)</f>
        <v>5.42</v>
      </c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</row>
    <row r="22" spans="1:51" ht="3" customHeight="1" thickTop="1" thickBot="1" x14ac:dyDescent="0.25">
      <c r="A22" s="201"/>
      <c r="B22" s="148"/>
      <c r="C22" s="149"/>
      <c r="D22" s="149"/>
      <c r="E22" s="149"/>
      <c r="F22" s="149"/>
      <c r="G22" s="149"/>
      <c r="H22" s="149"/>
      <c r="K22" s="148"/>
      <c r="L22" s="266"/>
      <c r="M22" s="266"/>
      <c r="N22" s="266"/>
      <c r="O22" s="266"/>
      <c r="P22" s="266"/>
      <c r="Q22" s="149"/>
      <c r="S22" s="150"/>
      <c r="T22" s="151"/>
      <c r="U22" s="150"/>
      <c r="V22" s="152"/>
      <c r="W22" s="152"/>
      <c r="X22" s="152"/>
      <c r="Y22" s="151"/>
      <c r="Z22" s="153"/>
      <c r="AA22" s="153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</row>
    <row r="23" spans="1:51" ht="13.5" customHeight="1" thickTop="1" thickBot="1" x14ac:dyDescent="0.25">
      <c r="A23" s="4">
        <f>(1-Z9)</f>
        <v>1</v>
      </c>
      <c r="B23" s="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96" t="s">
        <v>173</v>
      </c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</row>
    <row r="24" spans="1:51" ht="14.25" thickTop="1" thickBot="1" x14ac:dyDescent="0.25">
      <c r="A24" s="78" t="s">
        <v>173</v>
      </c>
      <c r="B24" s="705" t="s">
        <v>174</v>
      </c>
      <c r="C24" s="706"/>
      <c r="D24" s="706"/>
      <c r="E24" s="706"/>
      <c r="F24" s="706"/>
      <c r="G24" s="706"/>
      <c r="H24" s="707"/>
      <c r="I24" s="43"/>
      <c r="J24" s="78" t="s">
        <v>173</v>
      </c>
      <c r="K24" s="705" t="s">
        <v>174</v>
      </c>
      <c r="L24" s="706"/>
      <c r="M24" s="706"/>
      <c r="N24" s="706"/>
      <c r="O24" s="706"/>
      <c r="P24" s="706"/>
      <c r="Q24" s="707"/>
      <c r="R24" s="160"/>
      <c r="S24" s="154">
        <v>44</v>
      </c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</row>
    <row r="25" spans="1:51" ht="14.25" thickTop="1" thickBot="1" x14ac:dyDescent="0.25">
      <c r="A25" s="78">
        <v>22</v>
      </c>
      <c r="B25" s="300">
        <v>200</v>
      </c>
      <c r="C25" s="303">
        <v>300</v>
      </c>
      <c r="D25" s="303">
        <v>400</v>
      </c>
      <c r="E25" s="303">
        <v>450</v>
      </c>
      <c r="F25" s="304">
        <v>500</v>
      </c>
      <c r="G25" s="304">
        <v>600</v>
      </c>
      <c r="H25" s="301">
        <v>900</v>
      </c>
      <c r="I25" s="43"/>
      <c r="J25" s="78">
        <v>33</v>
      </c>
      <c r="K25" s="300">
        <v>200</v>
      </c>
      <c r="L25" s="299">
        <v>300</v>
      </c>
      <c r="M25" s="299">
        <v>400</v>
      </c>
      <c r="N25" s="299">
        <v>450</v>
      </c>
      <c r="O25" s="302">
        <v>500</v>
      </c>
      <c r="P25" s="302">
        <v>600</v>
      </c>
      <c r="Q25" s="301">
        <v>900</v>
      </c>
      <c r="R25" s="161"/>
      <c r="S25" s="305">
        <v>200</v>
      </c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</row>
    <row r="26" spans="1:51" ht="15.75" thickTop="1" x14ac:dyDescent="0.25">
      <c r="A26" s="83">
        <v>400</v>
      </c>
      <c r="B26" s="312"/>
      <c r="C26" s="319">
        <f>85.52*(CONSTCV)</f>
        <v>85.52</v>
      </c>
      <c r="D26" s="307">
        <f>92.34*(CONSTCV)</f>
        <v>92.34</v>
      </c>
      <c r="E26" s="307">
        <f>96.76*(CONSTCV)</f>
        <v>96.76</v>
      </c>
      <c r="F26" s="307">
        <f>103.76*(CONSTCV)</f>
        <v>103.76</v>
      </c>
      <c r="G26" s="307">
        <f>109.55*(CONSTCV)</f>
        <v>109.55</v>
      </c>
      <c r="H26" s="313">
        <f>143.45*(CONSTCV)</f>
        <v>143.44999999999999</v>
      </c>
      <c r="I26" s="43"/>
      <c r="J26" s="83">
        <v>400</v>
      </c>
      <c r="K26" s="312"/>
      <c r="L26" s="307">
        <f>146.49*(CONSTCV)</f>
        <v>146.49</v>
      </c>
      <c r="M26" s="307">
        <f>152.49*(CONSTCV)</f>
        <v>152.49</v>
      </c>
      <c r="N26" s="307">
        <f>159.53*(CONSTCV)</f>
        <v>159.53</v>
      </c>
      <c r="O26" s="307">
        <f>171.1*(CONSTCV)</f>
        <v>171.1</v>
      </c>
      <c r="P26" s="307">
        <f>180.24*(CONSTCV)</f>
        <v>180.24</v>
      </c>
      <c r="Q26" s="313">
        <f>187.42*(CONSTCV)</f>
        <v>187.42</v>
      </c>
      <c r="R26" s="155"/>
      <c r="S26" s="318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</row>
    <row r="27" spans="1:51" ht="15" x14ac:dyDescent="0.25">
      <c r="A27" s="84">
        <v>500</v>
      </c>
      <c r="B27" s="251"/>
      <c r="C27" s="320">
        <f>94.42*(CONSTCV)</f>
        <v>94.42</v>
      </c>
      <c r="D27" s="309">
        <f>100.5*(CONSTCV)</f>
        <v>100.5</v>
      </c>
      <c r="E27" s="309">
        <f>105.75*(CONSTCV)</f>
        <v>105.75</v>
      </c>
      <c r="F27" s="309">
        <f>113.71*(CONSTCV)</f>
        <v>113.71</v>
      </c>
      <c r="G27" s="309">
        <f>119.78*(CONSTCV)</f>
        <v>119.78</v>
      </c>
      <c r="H27" s="314">
        <f>157.91*(CONSTCV)</f>
        <v>157.91</v>
      </c>
      <c r="I27" s="43"/>
      <c r="J27" s="84">
        <v>500</v>
      </c>
      <c r="K27" s="251"/>
      <c r="L27" s="309">
        <f>154.27*(CONSTCV)</f>
        <v>154.27000000000001</v>
      </c>
      <c r="M27" s="309">
        <f>161.39*(CONSTCV)</f>
        <v>161.38999999999999</v>
      </c>
      <c r="N27" s="309">
        <f>169.42*(CONSTCV)</f>
        <v>169.42</v>
      </c>
      <c r="O27" s="309">
        <f>182.39*(CONSTCV)</f>
        <v>182.39</v>
      </c>
      <c r="P27" s="309">
        <f>192.03*(CONSTCV)</f>
        <v>192.03</v>
      </c>
      <c r="Q27" s="314">
        <f>208.34*(CONSTCV)</f>
        <v>208.34</v>
      </c>
      <c r="R27" s="158"/>
      <c r="S27" s="252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</row>
    <row r="28" spans="1:51" ht="15" x14ac:dyDescent="0.25">
      <c r="A28" s="84">
        <v>600</v>
      </c>
      <c r="B28" s="321">
        <f>89.9*(CONSTCV)</f>
        <v>89.9</v>
      </c>
      <c r="C28" s="309">
        <f>102.43*(CONSTCV)</f>
        <v>102.43</v>
      </c>
      <c r="D28" s="309">
        <f>108.88*(CONSTCV)</f>
        <v>108.88</v>
      </c>
      <c r="E28" s="309">
        <f>114.76*(CONSTCV)</f>
        <v>114.76</v>
      </c>
      <c r="F28" s="309">
        <f>123.57*(CONSTCV)</f>
        <v>123.57</v>
      </c>
      <c r="G28" s="309">
        <f>130.68*(CONSTCV)</f>
        <v>130.68</v>
      </c>
      <c r="H28" s="314">
        <f>172.3*(CONSTCV)</f>
        <v>172.3</v>
      </c>
      <c r="I28" s="43"/>
      <c r="J28" s="84">
        <v>600</v>
      </c>
      <c r="K28" s="308">
        <f>146.41*(CONSTCV)</f>
        <v>146.41</v>
      </c>
      <c r="L28" s="309">
        <f>162.44*(CONSTCV)</f>
        <v>162.44</v>
      </c>
      <c r="M28" s="309">
        <f>171.1*(CONSTCV)</f>
        <v>171.1</v>
      </c>
      <c r="N28" s="309">
        <f>180.15*(CONSTCV)</f>
        <v>180.15</v>
      </c>
      <c r="O28" s="309">
        <f>194.54*(CONSTCV)</f>
        <v>194.54</v>
      </c>
      <c r="P28" s="309">
        <f>205.22*(CONSTCV)</f>
        <v>205.22</v>
      </c>
      <c r="Q28" s="314">
        <f>231.86*(CONSTCV)</f>
        <v>231.86</v>
      </c>
      <c r="R28" s="158"/>
      <c r="S28" s="316">
        <f>174.3*(CONSTCV)</f>
        <v>174.3</v>
      </c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</row>
    <row r="29" spans="1:51" ht="15" x14ac:dyDescent="0.25">
      <c r="A29" s="84">
        <v>700</v>
      </c>
      <c r="B29" s="308">
        <f>96.12*(CONSTCV)</f>
        <v>96.12</v>
      </c>
      <c r="C29" s="309">
        <f>109.18*(CONSTCV)</f>
        <v>109.18</v>
      </c>
      <c r="D29" s="309">
        <f>117.12*(CONSTCV)</f>
        <v>117.12</v>
      </c>
      <c r="E29" s="309">
        <f>123.71*(CONSTCV)</f>
        <v>123.71</v>
      </c>
      <c r="F29" s="309">
        <f>133.57*(CONSTCV)</f>
        <v>133.57</v>
      </c>
      <c r="G29" s="309">
        <f>141.44*(CONSTCV)</f>
        <v>141.44</v>
      </c>
      <c r="H29" s="314">
        <f>191.36*(CONSTCV)</f>
        <v>191.36</v>
      </c>
      <c r="I29" s="43"/>
      <c r="J29" s="84">
        <v>700</v>
      </c>
      <c r="K29" s="308">
        <f>154.79*(CONSTCV)</f>
        <v>154.79</v>
      </c>
      <c r="L29" s="309">
        <f>171.33*(CONSTCV)</f>
        <v>171.33</v>
      </c>
      <c r="M29" s="309">
        <f>181.49*(CONSTCV)</f>
        <v>181.49</v>
      </c>
      <c r="N29" s="309">
        <f>191.37*(CONSTCV)</f>
        <v>191.37</v>
      </c>
      <c r="O29" s="309">
        <f>207.08*(CONSTCV)</f>
        <v>207.08</v>
      </c>
      <c r="P29" s="309">
        <f>219.32*(CONSTCV)</f>
        <v>219.32</v>
      </c>
      <c r="Q29" s="314">
        <f>258.7*(CONSTCV)</f>
        <v>258.7</v>
      </c>
      <c r="R29" s="158"/>
      <c r="S29" s="316">
        <f>186.91*(CONSTCV)</f>
        <v>186.91</v>
      </c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</row>
    <row r="30" spans="1:51" ht="15" x14ac:dyDescent="0.25">
      <c r="A30" s="84">
        <v>800</v>
      </c>
      <c r="B30" s="308">
        <f>102.88*(CONSTCV)</f>
        <v>102.88</v>
      </c>
      <c r="C30" s="309">
        <f>116.23*(CONSTCV)</f>
        <v>116.23</v>
      </c>
      <c r="D30" s="309">
        <f>125.12*(CONSTCV)</f>
        <v>125.12</v>
      </c>
      <c r="E30" s="309">
        <f>132.64*(CONSTCV)</f>
        <v>132.63999999999999</v>
      </c>
      <c r="F30" s="309">
        <f>143.89*(CONSTCV)</f>
        <v>143.88999999999999</v>
      </c>
      <c r="G30" s="309">
        <f>153.02*(CONSTCV)</f>
        <v>153.02000000000001</v>
      </c>
      <c r="H30" s="314">
        <f>209.6*(CONSTCV)</f>
        <v>209.6</v>
      </c>
      <c r="I30" s="43"/>
      <c r="J30" s="84">
        <v>800</v>
      </c>
      <c r="K30" s="308">
        <f>163.99*(CONSTCV)</f>
        <v>163.99</v>
      </c>
      <c r="L30" s="309">
        <f>181.05*(CONSTCV)</f>
        <v>181.05</v>
      </c>
      <c r="M30" s="309">
        <f>192.32*(CONSTCV)</f>
        <v>192.32</v>
      </c>
      <c r="N30" s="309">
        <f>203.41*(CONSTCV)</f>
        <v>203.41</v>
      </c>
      <c r="O30" s="309">
        <f>220.51*(CONSTCV)</f>
        <v>220.51</v>
      </c>
      <c r="P30" s="309">
        <f>234.44*(CONSTCV)</f>
        <v>234.44</v>
      </c>
      <c r="Q30" s="314">
        <f>288.74*(CONSTCV)</f>
        <v>288.74</v>
      </c>
      <c r="R30" s="158"/>
      <c r="S30" s="316">
        <f>200.33*(CONSTCV)</f>
        <v>200.33</v>
      </c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</row>
    <row r="31" spans="1:51" ht="15" x14ac:dyDescent="0.25">
      <c r="A31" s="84">
        <v>900</v>
      </c>
      <c r="B31" s="308">
        <f>109.18*(CONSTCV)</f>
        <v>109.18</v>
      </c>
      <c r="C31" s="309">
        <f>122.98*(CONSTCV)</f>
        <v>122.98</v>
      </c>
      <c r="D31" s="309">
        <f>133.29*(CONSTCV)</f>
        <v>133.29</v>
      </c>
      <c r="E31" s="309">
        <f>141.62*(CONSTCV)</f>
        <v>141.62</v>
      </c>
      <c r="F31" s="309">
        <f>153.83*(CONSTCV)</f>
        <v>153.83000000000001</v>
      </c>
      <c r="G31" s="309">
        <f>163.99*(CONSTCV)</f>
        <v>163.99</v>
      </c>
      <c r="H31" s="314">
        <f>228.66*(CONSTCV)</f>
        <v>228.66</v>
      </c>
      <c r="I31" s="43"/>
      <c r="J31" s="84">
        <v>900</v>
      </c>
      <c r="K31" s="308">
        <f>172.67*(CONSTCV)</f>
        <v>172.67</v>
      </c>
      <c r="L31" s="309">
        <f>190.32*(CONSTCV)</f>
        <v>190.32</v>
      </c>
      <c r="M31" s="309">
        <f>204.04*(CONSTCV)</f>
        <v>204.04</v>
      </c>
      <c r="N31" s="309">
        <f>216.49*(CONSTCV)</f>
        <v>216.49</v>
      </c>
      <c r="O31" s="309">
        <f>235.42*(CONSTCV)</f>
        <v>235.42</v>
      </c>
      <c r="P31" s="309">
        <f>250.4*(CONSTCV)</f>
        <v>250.4</v>
      </c>
      <c r="Q31" s="314">
        <f>306.61*(CONSTCV)</f>
        <v>306.61</v>
      </c>
      <c r="R31" s="158"/>
      <c r="S31" s="316">
        <f>212.87*(CONSTCV)</f>
        <v>212.87</v>
      </c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</row>
    <row r="32" spans="1:51" ht="15" x14ac:dyDescent="0.25">
      <c r="A32" s="84">
        <v>1000</v>
      </c>
      <c r="B32" s="308">
        <f>115.7*(CONSTCV)</f>
        <v>115.7</v>
      </c>
      <c r="C32" s="309">
        <f>129.87*(CONSTCV)</f>
        <v>129.87</v>
      </c>
      <c r="D32" s="309">
        <f>141.37*(CONSTCV)</f>
        <v>141.37</v>
      </c>
      <c r="E32" s="309">
        <f>150.47*(CONSTCV)</f>
        <v>150.47</v>
      </c>
      <c r="F32" s="309">
        <f>163.77*(CONSTCV)</f>
        <v>163.77000000000001</v>
      </c>
      <c r="G32" s="309">
        <f>175.26*(CONSTCV)</f>
        <v>175.26</v>
      </c>
      <c r="H32" s="314">
        <f>247.28*(CONSTCV)</f>
        <v>247.28</v>
      </c>
      <c r="I32" s="43"/>
      <c r="J32" s="84">
        <v>1000</v>
      </c>
      <c r="K32" s="308">
        <f>181.42*(CONSTCV)</f>
        <v>181.42</v>
      </c>
      <c r="L32" s="309">
        <f>199.6*(CONSTCV)</f>
        <v>199.6</v>
      </c>
      <c r="M32" s="309">
        <f>215.61*(CONSTCV)</f>
        <v>215.61</v>
      </c>
      <c r="N32" s="309">
        <f>229.18*(CONSTCV)</f>
        <v>229.18</v>
      </c>
      <c r="O32" s="309">
        <f>249.73*(CONSTCV)</f>
        <v>249.73</v>
      </c>
      <c r="P32" s="309">
        <f>266.42*(CONSTCV)</f>
        <v>266.42</v>
      </c>
      <c r="Q32" s="314">
        <f>326.43*(CONSTCV)</f>
        <v>326.43</v>
      </c>
      <c r="R32" s="158"/>
      <c r="S32" s="316">
        <f>225.99*(CONSTCV)</f>
        <v>225.99</v>
      </c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</row>
    <row r="33" spans="1:51" ht="15" x14ac:dyDescent="0.25">
      <c r="A33" s="84">
        <v>1100</v>
      </c>
      <c r="B33" s="308">
        <f>122*(CONSTCV)</f>
        <v>122</v>
      </c>
      <c r="C33" s="309">
        <f>136.55*(CONSTCV)</f>
        <v>136.55000000000001</v>
      </c>
      <c r="D33" s="309">
        <f>149.9*(CONSTCV)</f>
        <v>149.9</v>
      </c>
      <c r="E33" s="309">
        <f>159.56*(CONSTCV)</f>
        <v>159.56</v>
      </c>
      <c r="F33" s="309">
        <f>173.71*(CONSTCV)</f>
        <v>173.71</v>
      </c>
      <c r="G33" s="309">
        <f>186.02*(CONSTCV)</f>
        <v>186.02</v>
      </c>
      <c r="H33" s="314">
        <f>265.83*(CONSTCV)</f>
        <v>265.83</v>
      </c>
      <c r="I33" s="43"/>
      <c r="J33" s="84">
        <v>1100</v>
      </c>
      <c r="K33" s="308">
        <f>190.77*(CONSTCV)</f>
        <v>190.77</v>
      </c>
      <c r="L33" s="309">
        <f>209.46*(CONSTCV)</f>
        <v>209.46</v>
      </c>
      <c r="M33" s="309">
        <f>227.62*(CONSTCV)</f>
        <v>227.62</v>
      </c>
      <c r="N33" s="309">
        <f>242.26*(CONSTCV)</f>
        <v>242.26</v>
      </c>
      <c r="O33" s="309">
        <f>264.27*(CONSTCV)</f>
        <v>264.27</v>
      </c>
      <c r="P33" s="309">
        <f>282.51*(CONSTCV)</f>
        <v>282.51</v>
      </c>
      <c r="Q33" s="314">
        <f>347.41*(CONSTCV)</f>
        <v>347.41</v>
      </c>
      <c r="R33" s="158"/>
      <c r="S33" s="316">
        <f>238.75*(CONSTCV)</f>
        <v>238.75</v>
      </c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</row>
    <row r="34" spans="1:51" ht="15" x14ac:dyDescent="0.25">
      <c r="A34" s="84">
        <v>1200</v>
      </c>
      <c r="B34" s="308">
        <f>128.01*(CONSTCV)</f>
        <v>128.01</v>
      </c>
      <c r="C34" s="309">
        <f>143.08*(CONSTCV)</f>
        <v>143.08000000000001</v>
      </c>
      <c r="D34" s="309">
        <f>158.13*(CONSTCV)</f>
        <v>158.13</v>
      </c>
      <c r="E34" s="309">
        <f>168.43*(CONSTCV)</f>
        <v>168.43</v>
      </c>
      <c r="F34" s="309">
        <f>183.72*(CONSTCV)</f>
        <v>183.72</v>
      </c>
      <c r="G34" s="309">
        <f>197.43*(CONSTCV)</f>
        <v>197.43</v>
      </c>
      <c r="H34" s="314">
        <f>284.81*(CONSTCV)</f>
        <v>284.81</v>
      </c>
      <c r="I34" s="43"/>
      <c r="J34" s="84">
        <v>1200</v>
      </c>
      <c r="K34" s="308">
        <f>199.73*(CONSTCV)</f>
        <v>199.73</v>
      </c>
      <c r="L34" s="309">
        <f>219.02*(CONSTCV)</f>
        <v>219.02</v>
      </c>
      <c r="M34" s="309">
        <f>239.79*(CONSTCV)</f>
        <v>239.79</v>
      </c>
      <c r="N34" s="309">
        <f>255.2*(CONSTCV)</f>
        <v>255.2</v>
      </c>
      <c r="O34" s="309">
        <f>278.88*(CONSTCV)</f>
        <v>278.88</v>
      </c>
      <c r="P34" s="309">
        <f>298.52*(CONSTCV)</f>
        <v>298.52</v>
      </c>
      <c r="Q34" s="314">
        <f>369.81*(CONSTCV)</f>
        <v>369.81</v>
      </c>
      <c r="R34" s="158"/>
      <c r="S34" s="316">
        <f>250.85*(CONSTCV)</f>
        <v>250.85</v>
      </c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</row>
    <row r="35" spans="1:51" ht="15" x14ac:dyDescent="0.25">
      <c r="A35" s="84">
        <v>1400</v>
      </c>
      <c r="B35" s="308">
        <f>141*(CONSTCV)</f>
        <v>141</v>
      </c>
      <c r="C35" s="309">
        <f>156.65*(CONSTCV)</f>
        <v>156.65</v>
      </c>
      <c r="D35" s="309">
        <f>174.67*(CONSTCV)</f>
        <v>174.67</v>
      </c>
      <c r="E35" s="309">
        <f>186.56*(CONSTCV)</f>
        <v>186.56</v>
      </c>
      <c r="F35" s="309">
        <f>203.97*(CONSTCV)</f>
        <v>203.97</v>
      </c>
      <c r="G35" s="309">
        <f>219.91*(CONSTCV)</f>
        <v>219.91</v>
      </c>
      <c r="H35" s="314">
        <f>322.19*(CONSTCV)</f>
        <v>322.19</v>
      </c>
      <c r="I35" s="43"/>
      <c r="J35" s="84">
        <v>1400</v>
      </c>
      <c r="K35" s="308">
        <f>217.91*(CONSTCV)</f>
        <v>217.91</v>
      </c>
      <c r="L35" s="309">
        <f>238.31*(CONSTCV)</f>
        <v>238.31</v>
      </c>
      <c r="M35" s="309">
        <f>263.16*(CONSTCV)</f>
        <v>263.16000000000003</v>
      </c>
      <c r="N35" s="309">
        <f>280.79*(CONSTCV)</f>
        <v>280.79000000000002</v>
      </c>
      <c r="O35" s="309">
        <f>307.51*(CONSTCV)</f>
        <v>307.51</v>
      </c>
      <c r="P35" s="309">
        <f>330.43*(CONSTCV)</f>
        <v>330.43</v>
      </c>
      <c r="Q35" s="314">
        <f>409.19*(CONSTCV)</f>
        <v>409.19</v>
      </c>
      <c r="R35" s="158"/>
      <c r="S35" s="316">
        <f>276.5*(CONSTCV)</f>
        <v>276.5</v>
      </c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</row>
    <row r="36" spans="1:51" ht="15" x14ac:dyDescent="0.25">
      <c r="A36" s="84">
        <v>1600</v>
      </c>
      <c r="B36" s="308">
        <f>153.76*(CONSTCV)</f>
        <v>153.76</v>
      </c>
      <c r="C36" s="309">
        <f>170.22*(CONSTCV)</f>
        <v>170.22</v>
      </c>
      <c r="D36" s="309">
        <f>191.06*(CONSTCV)</f>
        <v>191.06</v>
      </c>
      <c r="E36" s="309">
        <f>204.42*(CONSTCV)</f>
        <v>204.42</v>
      </c>
      <c r="F36" s="309">
        <f>224.07*(CONSTCV)</f>
        <v>224.07</v>
      </c>
      <c r="G36" s="309">
        <f>242.01*(CONSTCV)</f>
        <v>242.01</v>
      </c>
      <c r="H36" s="314">
        <f>359.57*(CONSTCV)</f>
        <v>359.57</v>
      </c>
      <c r="I36" s="43"/>
      <c r="J36" s="84">
        <v>1600</v>
      </c>
      <c r="K36" s="308">
        <f>236.01*(CONSTCV)</f>
        <v>236.01</v>
      </c>
      <c r="L36" s="309">
        <f>257.44*(CONSTCV)</f>
        <v>257.44</v>
      </c>
      <c r="M36" s="309">
        <f>286.59*(CONSTCV)</f>
        <v>286.58999999999997</v>
      </c>
      <c r="N36" s="309">
        <f>306.56*(CONSTCV)</f>
        <v>306.56</v>
      </c>
      <c r="O36" s="309">
        <f>336.58*(CONSTCV)</f>
        <v>336.58</v>
      </c>
      <c r="P36" s="309">
        <f>362.85*(CONSTCV)</f>
        <v>362.85</v>
      </c>
      <c r="Q36" s="314">
        <f>447.39*(CONSTCV)</f>
        <v>447.39</v>
      </c>
      <c r="R36" s="158"/>
      <c r="S36" s="316">
        <f>302.09*(CONSTCV)</f>
        <v>302.08999999999997</v>
      </c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</row>
    <row r="37" spans="1:51" ht="15" x14ac:dyDescent="0.25">
      <c r="A37" s="84">
        <v>1800</v>
      </c>
      <c r="B37" s="308">
        <f>166.81*(CONSTCV)</f>
        <v>166.81</v>
      </c>
      <c r="C37" s="309">
        <f>184.09*(CONSTCV)</f>
        <v>184.09</v>
      </c>
      <c r="D37" s="309">
        <f>207.38*(CONSTCV)</f>
        <v>207.38</v>
      </c>
      <c r="E37" s="309">
        <f>222.52*(CONSTCV)</f>
        <v>222.52</v>
      </c>
      <c r="F37" s="309">
        <f>244.31*(CONSTCV)</f>
        <v>244.31</v>
      </c>
      <c r="G37" s="309">
        <f>264.43*(CONSTCV)</f>
        <v>264.43</v>
      </c>
      <c r="H37" s="314">
        <f>396.88*(CONSTCV)</f>
        <v>396.88</v>
      </c>
      <c r="I37" s="43"/>
      <c r="J37" s="84">
        <v>1800</v>
      </c>
      <c r="K37" s="308">
        <f>248.61*(CONSTCV)</f>
        <v>248.61</v>
      </c>
      <c r="L37" s="309">
        <f>270.79*(CONSTCV)</f>
        <v>270.79000000000002</v>
      </c>
      <c r="M37" s="309">
        <f>310.4*(CONSTCV)</f>
        <v>310.39999999999998</v>
      </c>
      <c r="N37" s="309">
        <f>332.53*(CONSTCV)</f>
        <v>332.53</v>
      </c>
      <c r="O37" s="309">
        <f>365.28*(CONSTCV)</f>
        <v>365.28</v>
      </c>
      <c r="P37" s="309">
        <f>394.73*(CONSTCV)</f>
        <v>394.73</v>
      </c>
      <c r="Q37" s="314">
        <f>489.22*(CONSTCV)</f>
        <v>489.22</v>
      </c>
      <c r="R37" s="158"/>
      <c r="S37" s="316">
        <f>328.2*(CONSTCV)</f>
        <v>328.2</v>
      </c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</row>
    <row r="38" spans="1:51" ht="15" x14ac:dyDescent="0.25">
      <c r="A38" s="84">
        <v>2000</v>
      </c>
      <c r="B38" s="308">
        <f>179.5*(CONSTCV)</f>
        <v>179.5</v>
      </c>
      <c r="C38" s="309">
        <f>197.59*(CONSTCV)</f>
        <v>197.59</v>
      </c>
      <c r="D38" s="309">
        <f>224.36*(CONSTCV)</f>
        <v>224.36</v>
      </c>
      <c r="E38" s="309">
        <f>240.68*(CONSTCV)</f>
        <v>240.68</v>
      </c>
      <c r="F38" s="309">
        <f>264.43*(CONSTCV)</f>
        <v>264.43</v>
      </c>
      <c r="G38" s="309">
        <f>286.66*(CONSTCV)</f>
        <v>286.66000000000003</v>
      </c>
      <c r="H38" s="314">
        <f>434.79*(CONSTCV)</f>
        <v>434.79</v>
      </c>
      <c r="I38" s="43"/>
      <c r="J38" s="84">
        <v>2000</v>
      </c>
      <c r="K38" s="308">
        <f>271.98*(CONSTCV)</f>
        <v>271.98</v>
      </c>
      <c r="L38" s="309">
        <f>295.64*(CONSTCV)</f>
        <v>295.64</v>
      </c>
      <c r="M38" s="309">
        <f>333.91*(CONSTCV)</f>
        <v>333.91</v>
      </c>
      <c r="N38" s="309">
        <f>358.38*(CONSTCV)</f>
        <v>358.38</v>
      </c>
      <c r="O38" s="309">
        <f>394.06*(CONSTCV)</f>
        <v>394.06</v>
      </c>
      <c r="P38" s="309">
        <f>427.3*(CONSTCV)</f>
        <v>427.3</v>
      </c>
      <c r="Q38" s="314">
        <f>526.38*(CONSTCV)</f>
        <v>526.38</v>
      </c>
      <c r="R38" s="158"/>
      <c r="S38" s="316">
        <f>353.64*(CONSTCV)</f>
        <v>353.64</v>
      </c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</row>
    <row r="39" spans="1:51" ht="15" x14ac:dyDescent="0.25">
      <c r="A39" s="84">
        <v>2300</v>
      </c>
      <c r="B39" s="308">
        <f>198.77*(CONSTCV)</f>
        <v>198.77</v>
      </c>
      <c r="C39" s="309">
        <f>217.98*(CONSTCV)</f>
        <v>217.98</v>
      </c>
      <c r="D39" s="309">
        <f>248.99*(CONSTCV)</f>
        <v>248.99</v>
      </c>
      <c r="E39" s="309">
        <f>267.68*(CONSTCV)</f>
        <v>267.68</v>
      </c>
      <c r="F39" s="309">
        <f>294.83*(CONSTCV)</f>
        <v>294.83</v>
      </c>
      <c r="G39" s="309">
        <f>320.41*(CONSTCV)</f>
        <v>320.41000000000003</v>
      </c>
      <c r="H39" s="314">
        <f>487.52*(CONSTCV)</f>
        <v>487.52</v>
      </c>
      <c r="I39" s="43"/>
      <c r="J39" s="84">
        <v>2300</v>
      </c>
      <c r="K39" s="308">
        <f>299.36*(CONSTCV)</f>
        <v>299.36</v>
      </c>
      <c r="L39" s="309">
        <f>324.49*(CONSTCV)</f>
        <v>324.49</v>
      </c>
      <c r="M39" s="309">
        <f>369.59*(CONSTCV)</f>
        <v>369.59</v>
      </c>
      <c r="N39" s="309">
        <f>397.15*(CONSTCV)</f>
        <v>397.15</v>
      </c>
      <c r="O39" s="309">
        <f>437.83*(CONSTCV)</f>
        <v>437.83</v>
      </c>
      <c r="P39" s="309">
        <f>475.29*(CONSTCV)</f>
        <v>475.29</v>
      </c>
      <c r="Q39" s="314">
        <f>565.99*(CONSTCV)</f>
        <v>565.99</v>
      </c>
      <c r="R39" s="158"/>
      <c r="S39" s="316">
        <f>392.21*(CONSTCV)</f>
        <v>392.21</v>
      </c>
      <c r="U39" s="40" t="s">
        <v>184</v>
      </c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</row>
    <row r="40" spans="1:51" ht="15" x14ac:dyDescent="0.25">
      <c r="A40" s="84">
        <v>2600</v>
      </c>
      <c r="B40" s="308">
        <f>217.91*(CONSTCV)</f>
        <v>217.91</v>
      </c>
      <c r="C40" s="309">
        <f>238.31*(CONSTCV)</f>
        <v>238.31</v>
      </c>
      <c r="D40" s="309">
        <f>273.91*(CONSTCV)</f>
        <v>273.91000000000003</v>
      </c>
      <c r="E40" s="309">
        <f>294.71*(CONSTCV)</f>
        <v>294.70999999999998</v>
      </c>
      <c r="F40" s="309">
        <f>325.08*(CONSTCV)</f>
        <v>325.08</v>
      </c>
      <c r="G40" s="309">
        <f>353.94*(CONSTCV)</f>
        <v>353.94</v>
      </c>
      <c r="H40" s="314">
        <f>538.25*(CONSTCV)</f>
        <v>538.25</v>
      </c>
      <c r="I40" s="43"/>
      <c r="J40" s="84">
        <v>2600</v>
      </c>
      <c r="K40" s="308">
        <f>326.34*(CONSTCV)</f>
        <v>326.33999999999997</v>
      </c>
      <c r="L40" s="309">
        <f>353.27*(CONSTCV)</f>
        <v>353.27</v>
      </c>
      <c r="M40" s="309">
        <f>404.75*(CONSTCV)</f>
        <v>404.75</v>
      </c>
      <c r="N40" s="309">
        <f>435.62*(CONSTCV)</f>
        <v>435.62</v>
      </c>
      <c r="O40" s="309">
        <f>481.13*(CONSTCV)</f>
        <v>481.13</v>
      </c>
      <c r="P40" s="309">
        <f>523.86*(CONSTCV)</f>
        <v>523.86</v>
      </c>
      <c r="Q40" s="314">
        <f>623.91*(CONSTCV)</f>
        <v>623.91</v>
      </c>
      <c r="R40" s="158"/>
      <c r="S40" s="316">
        <f>430.41*(CONSTCV)</f>
        <v>430.41</v>
      </c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</row>
    <row r="41" spans="1:51" ht="15.75" thickBot="1" x14ac:dyDescent="0.3">
      <c r="A41" s="86">
        <v>3000</v>
      </c>
      <c r="B41" s="310">
        <f>243.49*(CONSTCV)</f>
        <v>243.49</v>
      </c>
      <c r="C41" s="311">
        <f>265.52*(CONSTCV)</f>
        <v>265.52</v>
      </c>
      <c r="D41" s="311">
        <f>307.06*(CONSTCV)</f>
        <v>307.06</v>
      </c>
      <c r="E41" s="311">
        <f>330.81*(CONSTCV)</f>
        <v>330.81</v>
      </c>
      <c r="F41" s="311">
        <f>365.28*(CONSTCV)</f>
        <v>365.28</v>
      </c>
      <c r="G41" s="311">
        <f>398.43*(CONSTCV)</f>
        <v>398.43</v>
      </c>
      <c r="H41" s="315">
        <f>607.3*(CONSTCV)</f>
        <v>607.29999999999995</v>
      </c>
      <c r="I41" s="43"/>
      <c r="J41" s="86">
        <v>3000</v>
      </c>
      <c r="K41" s="310">
        <f>354.39*(CONSTCV)</f>
        <v>354.39</v>
      </c>
      <c r="L41" s="311">
        <f>383.01*(CONSTCV)</f>
        <v>383.01</v>
      </c>
      <c r="M41" s="311">
        <f>442.87*(CONSTCV)</f>
        <v>442.87</v>
      </c>
      <c r="N41" s="311">
        <f>477.89*(CONSTCV)</f>
        <v>477.89</v>
      </c>
      <c r="O41" s="311">
        <f>528.61*(CONSTCV)</f>
        <v>528.61</v>
      </c>
      <c r="P41" s="311">
        <f>576.97*(CONSTCV)</f>
        <v>576.97</v>
      </c>
      <c r="Q41" s="315">
        <f>688.07*(CONSTCV)</f>
        <v>688.07</v>
      </c>
      <c r="R41" s="159"/>
      <c r="S41" s="317">
        <f>481.65*(CONSTCV)</f>
        <v>481.65</v>
      </c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</row>
    <row r="42" spans="1:51" ht="13.5" thickTop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393" t="s">
        <v>185</v>
      </c>
      <c r="L42" s="273"/>
      <c r="M42" s="273"/>
      <c r="N42" s="273"/>
      <c r="O42" s="273"/>
      <c r="P42" s="27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</row>
    <row r="43" spans="1:51" x14ac:dyDescent="0.2">
      <c r="B43" s="40"/>
      <c r="C43" s="43"/>
      <c r="D43" s="43"/>
      <c r="E43" s="43"/>
      <c r="F43" s="43"/>
      <c r="G43" s="43"/>
      <c r="H43" s="43"/>
      <c r="I43" s="43"/>
      <c r="J43" s="394" t="s">
        <v>186</v>
      </c>
      <c r="K43" s="393" t="s">
        <v>190</v>
      </c>
      <c r="L43" s="273"/>
      <c r="M43" s="273"/>
      <c r="N43" s="273"/>
      <c r="O43" s="273"/>
      <c r="P43" s="27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5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395" t="s">
        <v>187</v>
      </c>
      <c r="K44" s="393" t="s">
        <v>191</v>
      </c>
      <c r="L44" s="273"/>
      <c r="M44" s="273"/>
      <c r="N44" s="273"/>
      <c r="O44" s="273"/>
      <c r="P44" s="27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5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394" t="s">
        <v>188</v>
      </c>
      <c r="K45" s="393" t="s">
        <v>190</v>
      </c>
      <c r="L45" s="273"/>
      <c r="M45" s="273"/>
      <c r="N45" s="273"/>
      <c r="O45" s="273"/>
      <c r="P45" s="27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5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394" t="s">
        <v>189</v>
      </c>
      <c r="K46" s="393" t="s">
        <v>192</v>
      </c>
      <c r="L46" s="273"/>
      <c r="M46" s="273"/>
      <c r="N46" s="273"/>
      <c r="O46" s="273"/>
      <c r="P46" s="27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</sheetData>
  <sheetProtection formatCells="0" formatColumns="0" formatRows="0" insertColumns="0" insertRows="0" insertHyperlinks="0" deleteColumns="0" deleteRows="0" sort="0" autoFilter="0" pivotTables="0"/>
  <mergeCells count="4">
    <mergeCell ref="K24:Q24"/>
    <mergeCell ref="B24:H24"/>
    <mergeCell ref="K4:Q4"/>
    <mergeCell ref="I1:Q1"/>
  </mergeCells>
  <phoneticPr fontId="0" type="noConversion"/>
  <pageMargins left="0.23622047244094491" right="0.23622047244094491" top="0" bottom="0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zoomScaleNormal="100" workbookViewId="0">
      <selection activeCell="S8" sqref="S8"/>
    </sheetView>
  </sheetViews>
  <sheetFormatPr defaultRowHeight="12.75" x14ac:dyDescent="0.2"/>
  <cols>
    <col min="1" max="1" width="5.85546875" customWidth="1"/>
    <col min="2" max="2" width="6.85546875" customWidth="1"/>
    <col min="3" max="3" width="6.7109375" customWidth="1"/>
    <col min="4" max="4" width="6.85546875" customWidth="1"/>
    <col min="5" max="5" width="7.140625" customWidth="1"/>
    <col min="6" max="6" width="7" customWidth="1"/>
    <col min="7" max="7" width="6.7109375" customWidth="1"/>
    <col min="8" max="8" width="5.85546875" customWidth="1"/>
    <col min="9" max="14" width="6.85546875" customWidth="1"/>
    <col min="15" max="15" width="0.7109375" customWidth="1"/>
    <col min="16" max="16" width="6.85546875" customWidth="1"/>
    <col min="18" max="18" width="5.28515625" customWidth="1"/>
    <col min="19" max="19" width="11" customWidth="1"/>
    <col min="20" max="20" width="10.7109375" customWidth="1"/>
    <col min="21" max="21" width="7.140625" customWidth="1"/>
  </cols>
  <sheetData>
    <row r="1" spans="1:52" ht="19.5" x14ac:dyDescent="0.25">
      <c r="A1" s="143" t="s">
        <v>171</v>
      </c>
      <c r="B1" s="75"/>
      <c r="C1" s="44"/>
      <c r="D1" s="44"/>
      <c r="E1" s="45"/>
      <c r="F1" s="45"/>
      <c r="G1" s="44"/>
      <c r="H1" s="708"/>
      <c r="I1" s="708"/>
      <c r="J1" s="708"/>
      <c r="K1" s="708"/>
      <c r="L1" s="708"/>
      <c r="M1" s="708"/>
      <c r="N1" s="708"/>
      <c r="O1" s="44"/>
      <c r="P1" s="44"/>
      <c r="Q1" s="44"/>
      <c r="R1" s="44"/>
      <c r="S1" s="44"/>
      <c r="T1" s="44"/>
      <c r="U1" s="44"/>
      <c r="AZ1" s="623"/>
    </row>
    <row r="2" spans="1:52" ht="15" x14ac:dyDescent="0.2">
      <c r="A2" s="1"/>
      <c r="B2" s="48"/>
      <c r="C2" s="49"/>
      <c r="D2" s="49"/>
      <c r="E2" s="50"/>
      <c r="F2" s="50"/>
      <c r="G2" s="49"/>
      <c r="H2" s="49"/>
      <c r="I2" s="49"/>
      <c r="J2" s="272"/>
      <c r="K2" s="272"/>
      <c r="L2" s="272"/>
      <c r="M2" s="272"/>
      <c r="N2" s="49"/>
      <c r="O2" s="49"/>
      <c r="P2" s="49"/>
      <c r="Q2" s="49"/>
      <c r="R2" s="49"/>
      <c r="S2" s="49"/>
      <c r="U2" s="634" t="s">
        <v>416</v>
      </c>
    </row>
    <row r="3" spans="1:52" ht="13.5" thickBot="1" x14ac:dyDescent="0.25">
      <c r="A3" s="77"/>
      <c r="B3" s="77"/>
      <c r="C3" s="43"/>
      <c r="D3" s="43"/>
      <c r="E3" s="43"/>
      <c r="F3" s="43"/>
      <c r="G3" s="43"/>
      <c r="H3" s="43"/>
      <c r="I3" s="43"/>
      <c r="J3" s="273"/>
      <c r="K3" s="273"/>
      <c r="L3" s="273"/>
      <c r="M3" s="273"/>
      <c r="N3" s="43"/>
      <c r="O3" s="43"/>
      <c r="P3" s="43"/>
      <c r="Q3" s="43"/>
      <c r="R3" s="43"/>
      <c r="S3" s="43"/>
      <c r="T3" s="43"/>
      <c r="AZ3" s="1"/>
    </row>
    <row r="4" spans="1:52" ht="14.25" thickTop="1" thickBot="1" x14ac:dyDescent="0.25">
      <c r="B4" s="78" t="s">
        <v>173</v>
      </c>
      <c r="C4" s="670" t="s">
        <v>174</v>
      </c>
      <c r="D4" s="671"/>
      <c r="E4" s="671"/>
      <c r="F4" s="671"/>
      <c r="G4" s="672"/>
      <c r="H4" s="78" t="s">
        <v>173</v>
      </c>
      <c r="I4" s="614" t="s">
        <v>174</v>
      </c>
      <c r="J4" s="615"/>
      <c r="K4" s="615"/>
      <c r="L4" s="615"/>
      <c r="M4" s="615"/>
      <c r="N4" s="616"/>
      <c r="O4" s="1"/>
      <c r="P4" s="43"/>
      <c r="Q4" s="43"/>
      <c r="R4" s="43"/>
      <c r="S4" s="43"/>
      <c r="T4" s="43"/>
      <c r="AZ4" s="1"/>
    </row>
    <row r="5" spans="1:52" ht="14.25" thickTop="1" thickBot="1" x14ac:dyDescent="0.25">
      <c r="B5" s="78">
        <v>11</v>
      </c>
      <c r="C5" s="298">
        <v>300</v>
      </c>
      <c r="D5" s="303">
        <v>400</v>
      </c>
      <c r="E5" s="304">
        <v>500</v>
      </c>
      <c r="F5" s="304">
        <v>600</v>
      </c>
      <c r="G5" s="301">
        <v>900</v>
      </c>
      <c r="H5" s="78" t="s">
        <v>2</v>
      </c>
      <c r="I5" s="300">
        <v>200</v>
      </c>
      <c r="J5" s="299">
        <v>300</v>
      </c>
      <c r="K5" s="299">
        <v>400</v>
      </c>
      <c r="L5" s="302">
        <v>500</v>
      </c>
      <c r="M5" s="302">
        <v>600</v>
      </c>
      <c r="N5" s="301">
        <v>900</v>
      </c>
      <c r="O5" s="1"/>
      <c r="P5" s="43"/>
      <c r="Q5" s="43"/>
      <c r="R5" s="43"/>
      <c r="S5" s="43"/>
      <c r="T5" s="43"/>
      <c r="AZ5" s="1"/>
    </row>
    <row r="6" spans="1:52" ht="15.75" thickTop="1" x14ac:dyDescent="0.25">
      <c r="B6" s="83">
        <v>400</v>
      </c>
      <c r="C6" s="306">
        <f>94.44*(CONSTPCV)</f>
        <v>94.44</v>
      </c>
      <c r="D6" s="307">
        <f>99.04*(CONSTPCV)</f>
        <v>99.04</v>
      </c>
      <c r="E6" s="307">
        <f>100.21*(CONSTPCV)</f>
        <v>100.21</v>
      </c>
      <c r="F6" s="307">
        <f>111.38*(CONSTPCV)</f>
        <v>111.38</v>
      </c>
      <c r="G6" s="313">
        <f>121.86*(CONSTPCV)</f>
        <v>121.86</v>
      </c>
      <c r="H6" s="83">
        <v>400</v>
      </c>
      <c r="I6" s="312"/>
      <c r="J6" s="319">
        <f>110.14*(CONSTPCV)</f>
        <v>110.14</v>
      </c>
      <c r="K6" s="307">
        <f>118.66*(CONSTPCV)</f>
        <v>118.66</v>
      </c>
      <c r="L6" s="307">
        <f>133.36*(CONSTPCV)</f>
        <v>133.36000000000001</v>
      </c>
      <c r="M6" s="307">
        <f>140.38*(CONSTPCV)</f>
        <v>140.38</v>
      </c>
      <c r="N6" s="313">
        <f>183.54*(CONSTPCV)</f>
        <v>183.54</v>
      </c>
      <c r="O6" s="1"/>
      <c r="R6" s="43"/>
      <c r="S6" s="43"/>
      <c r="T6" s="43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Z6" s="1"/>
    </row>
    <row r="7" spans="1:52" ht="15" x14ac:dyDescent="0.25">
      <c r="B7" s="84">
        <v>500</v>
      </c>
      <c r="C7" s="308">
        <f>97.9*(CONSTPCV)</f>
        <v>97.9</v>
      </c>
      <c r="D7" s="309">
        <f>102.86*(CONSTPCV)</f>
        <v>102.86</v>
      </c>
      <c r="E7" s="309">
        <f>105.73*(CONSTPCV)</f>
        <v>105.73</v>
      </c>
      <c r="F7" s="309">
        <f>113.36*(CONSTPCV)</f>
        <v>113.36</v>
      </c>
      <c r="G7" s="314">
        <f>131.07*(CONSTPCV)</f>
        <v>131.07</v>
      </c>
      <c r="H7" s="84">
        <v>500</v>
      </c>
      <c r="I7" s="251"/>
      <c r="J7" s="320">
        <f>121.56*(CONSTPCV)</f>
        <v>121.56</v>
      </c>
      <c r="K7" s="309">
        <f>129.27*(CONSTPCV)</f>
        <v>129.27000000000001</v>
      </c>
      <c r="L7" s="309">
        <f>145.99*(CONSTPCV)</f>
        <v>145.99</v>
      </c>
      <c r="M7" s="309">
        <f>153.69*(CONSTPCV)</f>
        <v>153.69</v>
      </c>
      <c r="N7" s="314">
        <f>201.36*(CONSTPCV)</f>
        <v>201.36</v>
      </c>
      <c r="R7" s="43"/>
      <c r="S7" s="43"/>
      <c r="T7" s="43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Z7" s="1"/>
    </row>
    <row r="8" spans="1:52" ht="15" x14ac:dyDescent="0.25">
      <c r="B8" s="84">
        <v>600</v>
      </c>
      <c r="C8" s="308">
        <f>101.69*(CONSTPCV)</f>
        <v>101.69</v>
      </c>
      <c r="D8" s="309">
        <f>107.8*(CONSTPCV)</f>
        <v>107.8</v>
      </c>
      <c r="E8" s="309">
        <f>111.61*(CONSTPCV)</f>
        <v>111.61</v>
      </c>
      <c r="F8" s="309">
        <f>119.47*(CONSTPCV)</f>
        <v>119.47</v>
      </c>
      <c r="G8" s="314">
        <f>141.09*(CONSTPCV)</f>
        <v>141.09</v>
      </c>
      <c r="H8" s="84">
        <v>600</v>
      </c>
      <c r="I8" s="321">
        <f>114.53*(CONSTPCV)</f>
        <v>114.53</v>
      </c>
      <c r="J8" s="309">
        <f>131.07*(CONSTPCV)</f>
        <v>131.07</v>
      </c>
      <c r="K8" s="309">
        <f>139.39*(CONSTPCV)</f>
        <v>139.38999999999999</v>
      </c>
      <c r="L8" s="309">
        <f>158.41*(CONSTPCV)</f>
        <v>158.41</v>
      </c>
      <c r="M8" s="309">
        <f>167.32*(CONSTPCV)</f>
        <v>167.32</v>
      </c>
      <c r="N8" s="314">
        <f>219.79*(CONSTPCV)</f>
        <v>219.79</v>
      </c>
      <c r="O8" s="43"/>
      <c r="P8" s="43"/>
      <c r="R8" s="85" t="s">
        <v>172</v>
      </c>
      <c r="S8" s="652">
        <v>0</v>
      </c>
      <c r="T8" s="1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Z8" s="1"/>
    </row>
    <row r="9" spans="1:52" ht="15.75" thickBot="1" x14ac:dyDescent="0.3">
      <c r="B9" s="84">
        <v>700</v>
      </c>
      <c r="C9" s="308">
        <f>104.58*(CONSTPCV)</f>
        <v>104.58</v>
      </c>
      <c r="D9" s="309">
        <f>112.3*(CONSTPCV)</f>
        <v>112.3</v>
      </c>
      <c r="E9" s="309">
        <f>118.53*(CONSTPCV)</f>
        <v>118.53</v>
      </c>
      <c r="F9" s="309">
        <f>125.66*(CONSTPCV)</f>
        <v>125.66</v>
      </c>
      <c r="G9" s="314">
        <f>150.08*(CONSTPCV)</f>
        <v>150.08000000000001</v>
      </c>
      <c r="H9" s="84">
        <v>700</v>
      </c>
      <c r="I9" s="308">
        <f>123*(CONSTPCV)</f>
        <v>123</v>
      </c>
      <c r="J9" s="309">
        <f>140.19*(CONSTPCV)</f>
        <v>140.19</v>
      </c>
      <c r="K9" s="309">
        <f>150.28*(CONSTPCV)</f>
        <v>150.28</v>
      </c>
      <c r="L9" s="309">
        <f>171.23*(CONSTPCV)</f>
        <v>171.23</v>
      </c>
      <c r="M9" s="309">
        <f>181.13*(CONSTPCV)</f>
        <v>181.13</v>
      </c>
      <c r="N9" s="314">
        <f>243.72*(CONSTPCV)</f>
        <v>243.72</v>
      </c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</row>
    <row r="10" spans="1:52" ht="16.5" thickTop="1" thickBot="1" x14ac:dyDescent="0.3">
      <c r="B10" s="84">
        <v>800</v>
      </c>
      <c r="C10" s="308">
        <f>107.8*(CONSTPCV)</f>
        <v>107.8</v>
      </c>
      <c r="D10" s="309">
        <f>115.74*(CONSTPCV)</f>
        <v>115.74</v>
      </c>
      <c r="E10" s="309">
        <f>123.25*(CONSTPCV)</f>
        <v>123.25</v>
      </c>
      <c r="F10" s="309">
        <f>131.65*(CONSTPCV)</f>
        <v>131.65</v>
      </c>
      <c r="G10" s="314">
        <f>159*(CONSTPCV)</f>
        <v>159</v>
      </c>
      <c r="H10" s="84">
        <v>800</v>
      </c>
      <c r="I10" s="308">
        <f>131.77*(CONSTPCV)</f>
        <v>131.77000000000001</v>
      </c>
      <c r="J10" s="309">
        <f>149.41*(CONSTPCV)</f>
        <v>149.41</v>
      </c>
      <c r="K10" s="309">
        <f>160.71*(CONSTPCV)</f>
        <v>160.71</v>
      </c>
      <c r="L10" s="309">
        <f>184.04*(CONSTPCV)</f>
        <v>184.04</v>
      </c>
      <c r="M10" s="309">
        <f>195.25*(CONSTPCV)</f>
        <v>195.25</v>
      </c>
      <c r="N10" s="314">
        <f>267.44*(CONSTPCV)</f>
        <v>267.44</v>
      </c>
      <c r="P10" s="392" t="s">
        <v>175</v>
      </c>
      <c r="Q10" s="146"/>
      <c r="R10" s="615"/>
      <c r="S10" s="87"/>
      <c r="T10" s="87"/>
      <c r="U10" s="88" t="s">
        <v>170</v>
      </c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</row>
    <row r="11" spans="1:52" ht="15.75" thickTop="1" x14ac:dyDescent="0.25">
      <c r="B11" s="84">
        <v>900</v>
      </c>
      <c r="C11" s="308">
        <f>112.42*(CONSTPCV)</f>
        <v>112.42</v>
      </c>
      <c r="D11" s="309">
        <f>121.51*(CONSTPCV)</f>
        <v>121.51</v>
      </c>
      <c r="E11" s="309">
        <f>129.69*(CONSTPCV)</f>
        <v>129.69</v>
      </c>
      <c r="F11" s="309">
        <f>137.98*(CONSTPCV)</f>
        <v>137.97999999999999</v>
      </c>
      <c r="G11" s="314">
        <f>167.62*(CONSTPCV)</f>
        <v>167.62</v>
      </c>
      <c r="H11" s="84">
        <v>900</v>
      </c>
      <c r="I11" s="308">
        <f>139.78*(CONSTPCV)</f>
        <v>139.78</v>
      </c>
      <c r="J11" s="309">
        <f>158.01*(CONSTPCV)</f>
        <v>158.01</v>
      </c>
      <c r="K11" s="309">
        <f>170.92*(CONSTPCV)</f>
        <v>170.92</v>
      </c>
      <c r="L11" s="309">
        <f>196.86*(CONSTPCV)</f>
        <v>196.86</v>
      </c>
      <c r="M11" s="309">
        <f>209.36*(CONSTPCV)</f>
        <v>209.36</v>
      </c>
      <c r="N11" s="314">
        <f>290.98*(CONSTPCV)</f>
        <v>290.98</v>
      </c>
      <c r="P11" s="89" t="s">
        <v>193</v>
      </c>
      <c r="Q11" s="144"/>
      <c r="R11" s="90"/>
      <c r="S11" s="90"/>
      <c r="T11" s="90"/>
      <c r="U11" s="295">
        <f>9.14*(CONSTPCV)</f>
        <v>9.14</v>
      </c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</row>
    <row r="12" spans="1:52" ht="15" x14ac:dyDescent="0.25">
      <c r="B12" s="84">
        <v>1000</v>
      </c>
      <c r="C12" s="308">
        <f>115.74*(CONSTPCV)</f>
        <v>115.74</v>
      </c>
      <c r="D12" s="309">
        <f>125.65*(CONSTPCV)</f>
        <v>125.65</v>
      </c>
      <c r="E12" s="309">
        <f>136.94*(CONSTPCV)</f>
        <v>136.94</v>
      </c>
      <c r="F12" s="309">
        <f>144.39*(CONSTPCV)</f>
        <v>144.38999999999999</v>
      </c>
      <c r="G12" s="314">
        <f>179.22*(CONSTPCV)</f>
        <v>179.22</v>
      </c>
      <c r="H12" s="84">
        <v>1000</v>
      </c>
      <c r="I12" s="308">
        <f>147.78*(CONSTPCV)</f>
        <v>147.78</v>
      </c>
      <c r="J12" s="309">
        <f>166.41*(CONSTPCV)</f>
        <v>166.41</v>
      </c>
      <c r="K12" s="309">
        <f>181.04*(CONSTPCV)</f>
        <v>181.04</v>
      </c>
      <c r="L12" s="309">
        <f>209.46*(CONSTPCV)</f>
        <v>209.46</v>
      </c>
      <c r="M12" s="309">
        <f>223.49*(CONSTPCV)</f>
        <v>223.49</v>
      </c>
      <c r="N12" s="314">
        <f>314.52*(CONSTPCV)</f>
        <v>314.52</v>
      </c>
      <c r="P12" s="89" t="s">
        <v>194</v>
      </c>
      <c r="Q12" s="145"/>
      <c r="R12" s="90"/>
      <c r="S12" s="90"/>
      <c r="T12" s="90"/>
      <c r="U12" s="296">
        <f>4.37*(CONSTPCV)</f>
        <v>4.37</v>
      </c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</row>
    <row r="13" spans="1:52" ht="15" x14ac:dyDescent="0.25">
      <c r="B13" s="84">
        <v>1100</v>
      </c>
      <c r="C13" s="308">
        <f>122.44*(CONSTPCV)</f>
        <v>122.44</v>
      </c>
      <c r="D13" s="309">
        <f>133.14*(CONSTPCV)</f>
        <v>133.13999999999999</v>
      </c>
      <c r="E13" s="309">
        <f>143.97*(CONSTPCV)</f>
        <v>143.97</v>
      </c>
      <c r="F13" s="309">
        <f>151.9*(CONSTPCV)</f>
        <v>151.9</v>
      </c>
      <c r="G13" s="314">
        <f>190.94*(CONSTPCV)</f>
        <v>190.94</v>
      </c>
      <c r="H13" s="84">
        <v>1100</v>
      </c>
      <c r="I13" s="308">
        <f>155.82*(CONSTPCV)</f>
        <v>155.82</v>
      </c>
      <c r="J13" s="309">
        <f>174.82*(CONSTPCV)</f>
        <v>174.82</v>
      </c>
      <c r="K13" s="309">
        <f>192.24*(CONSTPCV)</f>
        <v>192.24</v>
      </c>
      <c r="L13" s="309">
        <f>222.1*(CONSTPCV)</f>
        <v>222.1</v>
      </c>
      <c r="M13" s="309">
        <f>237.61*(CONSTPCV)</f>
        <v>237.61</v>
      </c>
      <c r="N13" s="314">
        <f>338.73*(CONSTPCV)</f>
        <v>338.73</v>
      </c>
      <c r="P13" s="92" t="s">
        <v>195</v>
      </c>
      <c r="Q13" s="145"/>
      <c r="R13" s="141"/>
      <c r="S13" s="90"/>
      <c r="T13" s="90"/>
      <c r="U13" s="296">
        <f>30.33*(CONSTPCV)</f>
        <v>30.33</v>
      </c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</row>
    <row r="14" spans="1:52" ht="15" x14ac:dyDescent="0.25">
      <c r="B14" s="84">
        <v>1200</v>
      </c>
      <c r="C14" s="308">
        <f>127.04*(CONSTPCV)</f>
        <v>127.04</v>
      </c>
      <c r="D14" s="309">
        <f>138.77*(CONSTPCV)</f>
        <v>138.77000000000001</v>
      </c>
      <c r="E14" s="309">
        <f>150.76*(CONSTPCV)</f>
        <v>150.76</v>
      </c>
      <c r="F14" s="309">
        <f>159.61*(CONSTPCV)</f>
        <v>159.61000000000001</v>
      </c>
      <c r="G14" s="314">
        <f>202.56*(CONSTPCV)</f>
        <v>202.56</v>
      </c>
      <c r="H14" s="84">
        <v>1200</v>
      </c>
      <c r="I14" s="308">
        <f>163.51*(CONSTPCV)</f>
        <v>163.51</v>
      </c>
      <c r="J14" s="309">
        <f>183.13*(CONSTPCV)</f>
        <v>183.13</v>
      </c>
      <c r="K14" s="309">
        <f>202.37*(CONSTPCV)</f>
        <v>202.37</v>
      </c>
      <c r="L14" s="309">
        <f>234.8*(CONSTPCV)</f>
        <v>234.8</v>
      </c>
      <c r="M14" s="309">
        <f>251.32*(CONSTPCV)</f>
        <v>251.32</v>
      </c>
      <c r="N14" s="314">
        <f>361.76*(CONSTPCV)</f>
        <v>361.76</v>
      </c>
      <c r="P14" s="93" t="s">
        <v>196</v>
      </c>
      <c r="Q14" s="145"/>
      <c r="R14" s="142"/>
      <c r="S14" s="90"/>
      <c r="T14" s="90"/>
      <c r="U14" s="296">
        <f>22.08*(CONSTPCV)</f>
        <v>22.08</v>
      </c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</row>
    <row r="15" spans="1:52" ht="15" x14ac:dyDescent="0.25">
      <c r="B15" s="84">
        <v>1400</v>
      </c>
      <c r="C15" s="308">
        <f>145.23*(CONSTPCV)</f>
        <v>145.22999999999999</v>
      </c>
      <c r="D15" s="309">
        <f>158.95*(CONSTPCV)</f>
        <v>158.94999999999999</v>
      </c>
      <c r="E15" s="309">
        <f>165.27*(CONSTPCV)</f>
        <v>165.27</v>
      </c>
      <c r="F15" s="309">
        <f>175.13*(CONSTPCV)</f>
        <v>175.13</v>
      </c>
      <c r="G15" s="314">
        <f>226.99*(CONSTPCV)</f>
        <v>226.99</v>
      </c>
      <c r="H15" s="84">
        <v>1400</v>
      </c>
      <c r="I15" s="308">
        <f>179.43*(CONSTPCV)</f>
        <v>179.43</v>
      </c>
      <c r="J15" s="309">
        <f>199.95*(CONSTPCV)</f>
        <v>199.95</v>
      </c>
      <c r="K15" s="309">
        <f>222.98*(CONSTPCV)</f>
        <v>222.98</v>
      </c>
      <c r="L15" s="309">
        <f>259.84*(CONSTPCV)</f>
        <v>259.83999999999997</v>
      </c>
      <c r="M15" s="309">
        <f>279.47*(CONSTPCV)</f>
        <v>279.47000000000003</v>
      </c>
      <c r="N15" s="314">
        <f>408.43*(CONSTPCV)</f>
        <v>408.43</v>
      </c>
      <c r="P15" s="93" t="s">
        <v>197</v>
      </c>
      <c r="Q15" s="145"/>
      <c r="R15" s="142"/>
      <c r="S15" s="90"/>
      <c r="T15" s="90"/>
      <c r="U15" s="296">
        <f>1.86*(CONSTPCV)</f>
        <v>1.86</v>
      </c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</row>
    <row r="16" spans="1:52" ht="15" x14ac:dyDescent="0.25">
      <c r="B16" s="84">
        <v>1600</v>
      </c>
      <c r="C16" s="308">
        <f>154.1*(CONSTPCV)</f>
        <v>154.1</v>
      </c>
      <c r="D16" s="309">
        <f>169.65*(CONSTPCV)</f>
        <v>169.65</v>
      </c>
      <c r="E16" s="309">
        <f>179.79*(CONSTPCV)</f>
        <v>179.79</v>
      </c>
      <c r="F16" s="309">
        <f>195.25*(CONSTPCV)</f>
        <v>195.25</v>
      </c>
      <c r="G16" s="314">
        <f>250.63*(CONSTPCV)</f>
        <v>250.63</v>
      </c>
      <c r="H16" s="84">
        <v>1600</v>
      </c>
      <c r="I16" s="308">
        <f>195.66*(CONSTPCV)</f>
        <v>195.66</v>
      </c>
      <c r="J16" s="309">
        <f>217.17*(CONSTPCV)</f>
        <v>217.17</v>
      </c>
      <c r="K16" s="309">
        <f>243.72*(CONSTPCV)</f>
        <v>243.72</v>
      </c>
      <c r="L16" s="309">
        <f>285.87*(CONSTPCV)</f>
        <v>285.87</v>
      </c>
      <c r="M16" s="309">
        <f>307.6*(CONSTPCV)</f>
        <v>307.60000000000002</v>
      </c>
      <c r="N16" s="314">
        <f>455.59*(CONSTPCV)</f>
        <v>455.59</v>
      </c>
      <c r="P16" s="93" t="s">
        <v>198</v>
      </c>
      <c r="Q16" s="145"/>
      <c r="R16" s="142"/>
      <c r="S16" s="90"/>
      <c r="T16" s="90"/>
      <c r="U16" s="296">
        <f>8.25*(CONSTPCV)</f>
        <v>8.25</v>
      </c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</row>
    <row r="17" spans="1:39" ht="15" x14ac:dyDescent="0.25">
      <c r="B17" s="84">
        <v>1800</v>
      </c>
      <c r="C17" s="308">
        <f>168.5*(CONSTPCV)</f>
        <v>168.5</v>
      </c>
      <c r="D17" s="309">
        <f>185.44*(CONSTPCV)</f>
        <v>185.44</v>
      </c>
      <c r="E17" s="309">
        <f>194.07*(CONSTPCV)</f>
        <v>194.07</v>
      </c>
      <c r="F17" s="309">
        <f>214.87*(CONSTPCV)</f>
        <v>214.87</v>
      </c>
      <c r="G17" s="314">
        <f>275.45*(CONSTPCV)</f>
        <v>275.45</v>
      </c>
      <c r="H17" s="84">
        <v>1800</v>
      </c>
      <c r="I17" s="308">
        <f>212.68*(CONSTPCV)</f>
        <v>212.68</v>
      </c>
      <c r="J17" s="309">
        <f>235.3*(CONSTPCV)</f>
        <v>235.3</v>
      </c>
      <c r="K17" s="309">
        <f>265.04*(CONSTPCV)</f>
        <v>265.04000000000002</v>
      </c>
      <c r="L17" s="309">
        <f>310.3*(CONSTPCV)</f>
        <v>310.3</v>
      </c>
      <c r="M17" s="309">
        <f>335.63*(CONSTPCV)</f>
        <v>335.63</v>
      </c>
      <c r="N17" s="314">
        <f>502.44*(CONSTPCV)</f>
        <v>502.44</v>
      </c>
      <c r="P17" s="166" t="s">
        <v>199</v>
      </c>
      <c r="Q17" s="167"/>
      <c r="R17" s="168"/>
      <c r="S17" s="169"/>
      <c r="T17" s="169"/>
      <c r="U17" s="296">
        <f>9.14*(CONSTPCV)</f>
        <v>9.14</v>
      </c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</row>
    <row r="18" spans="1:39" ht="15" x14ac:dyDescent="0.25">
      <c r="B18" s="84">
        <v>2000</v>
      </c>
      <c r="C18" s="308">
        <f>177.25*(CONSTPCV)</f>
        <v>177.25</v>
      </c>
      <c r="D18" s="309">
        <f>195.79*(CONSTPCV)</f>
        <v>195.79</v>
      </c>
      <c r="E18" s="309">
        <f>209.28*(CONSTPCV)</f>
        <v>209.28</v>
      </c>
      <c r="F18" s="309">
        <f>229.09*(CONSTPCV)</f>
        <v>229.09</v>
      </c>
      <c r="G18" s="314">
        <f>299.08*(CONSTPCV)</f>
        <v>299.08</v>
      </c>
      <c r="H18" s="84">
        <v>2000</v>
      </c>
      <c r="I18" s="308">
        <f>227.99*(CONSTPCV)</f>
        <v>227.99</v>
      </c>
      <c r="J18" s="309">
        <f>251.43*(CONSTPCV)</f>
        <v>251.43</v>
      </c>
      <c r="K18" s="309">
        <f>285.38*(CONSTPCV)</f>
        <v>285.38</v>
      </c>
      <c r="L18" s="309">
        <f>336.24*(CONSTPCV)</f>
        <v>336.24</v>
      </c>
      <c r="M18" s="309">
        <f>363.56*(CONSTPCV)</f>
        <v>363.56</v>
      </c>
      <c r="N18" s="314">
        <f>550.7*(CONSTPCV)</f>
        <v>550.70000000000005</v>
      </c>
      <c r="P18" s="397" t="s">
        <v>200</v>
      </c>
      <c r="Q18" s="145"/>
      <c r="R18" s="145"/>
      <c r="S18" s="145"/>
      <c r="T18" s="145"/>
      <c r="U18" s="296">
        <f>15.44*(CONSTPCV)</f>
        <v>15.44</v>
      </c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</row>
    <row r="19" spans="1:39" ht="15" x14ac:dyDescent="0.25">
      <c r="B19" s="84">
        <v>2300</v>
      </c>
      <c r="C19" s="308">
        <f>193.28*(CONSTPCV)</f>
        <v>193.28</v>
      </c>
      <c r="D19" s="309">
        <f>214.79*(CONSTPCV)</f>
        <v>214.79</v>
      </c>
      <c r="E19" s="309">
        <f>230.8*(CONSTPCV)</f>
        <v>230.8</v>
      </c>
      <c r="F19" s="309">
        <f>253.14*(CONSTPCV)</f>
        <v>253.14</v>
      </c>
      <c r="G19" s="314">
        <f>328.52*(CONSTPCV)</f>
        <v>328.52</v>
      </c>
      <c r="H19" s="84">
        <v>2300</v>
      </c>
      <c r="I19" s="308">
        <f>252.42*(CONSTPCV)</f>
        <v>252.42</v>
      </c>
      <c r="J19" s="309">
        <f>277.45*(CONSTPCV)</f>
        <v>277.45</v>
      </c>
      <c r="K19" s="309">
        <f>316.91*(CONSTPCV)</f>
        <v>316.91000000000003</v>
      </c>
      <c r="L19" s="309">
        <f>371.48*(CONSTPCV)</f>
        <v>371.48</v>
      </c>
      <c r="M19" s="309">
        <f>406.12*(CONSTPCV)</f>
        <v>406.12</v>
      </c>
      <c r="N19" s="314">
        <f>616.18*(CONSTPCV)</f>
        <v>616.17999999999995</v>
      </c>
      <c r="P19" s="397" t="s">
        <v>394</v>
      </c>
      <c r="Q19" s="145"/>
      <c r="R19" s="145"/>
      <c r="S19" s="145"/>
      <c r="T19" s="145"/>
      <c r="U19" s="563">
        <f>2.26*(CONSTPCV)</f>
        <v>2.2599999999999998</v>
      </c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</row>
    <row r="20" spans="1:39" ht="15" x14ac:dyDescent="0.25">
      <c r="B20" s="84">
        <v>2600</v>
      </c>
      <c r="C20" s="308">
        <f>206.97*(CONSTPCV)</f>
        <v>206.97</v>
      </c>
      <c r="D20" s="309">
        <f>233.91*(CONSTPCV)</f>
        <v>233.91</v>
      </c>
      <c r="E20" s="309">
        <f>252.69*(CONSTPCV)</f>
        <v>252.69</v>
      </c>
      <c r="F20" s="309">
        <f>281.86*(CONSTPCV)</f>
        <v>281.86</v>
      </c>
      <c r="G20" s="314">
        <f>360.77*(CONSTPCV)</f>
        <v>360.77</v>
      </c>
      <c r="H20" s="84">
        <v>2600</v>
      </c>
      <c r="I20" s="308">
        <f>280.76*(CONSTPCV)</f>
        <v>280.76</v>
      </c>
      <c r="J20" s="309">
        <f>307.4*(CONSTPCV)</f>
        <v>307.39999999999998</v>
      </c>
      <c r="K20" s="309">
        <f>348.24*(CONSTPCV)</f>
        <v>348.24</v>
      </c>
      <c r="L20" s="309">
        <f>412.04*(CONSTPCV)</f>
        <v>412.04</v>
      </c>
      <c r="M20" s="309">
        <f>447.77*(CONSTPCV)</f>
        <v>447.77</v>
      </c>
      <c r="N20" s="314">
        <f>680.68*(CONSTPCV)</f>
        <v>680.68</v>
      </c>
      <c r="P20" s="562" t="s">
        <v>201</v>
      </c>
      <c r="Q20" s="145"/>
      <c r="R20" s="145"/>
      <c r="S20" s="145"/>
      <c r="T20" s="145"/>
      <c r="U20" s="296">
        <f>35.59*(CONSTPCV)</f>
        <v>35.590000000000003</v>
      </c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</row>
    <row r="21" spans="1:39" ht="15.75" thickBot="1" x14ac:dyDescent="0.3">
      <c r="B21" s="86">
        <v>3000</v>
      </c>
      <c r="C21" s="310">
        <f>232.31*(CONSTPCV)</f>
        <v>232.31</v>
      </c>
      <c r="D21" s="311">
        <f>260.28*(CONSTPCV)</f>
        <v>260.27999999999997</v>
      </c>
      <c r="E21" s="311">
        <f>282.05*(CONSTPCV)</f>
        <v>282.05</v>
      </c>
      <c r="F21" s="311">
        <f>310.6*(CONSTPCV)</f>
        <v>310.60000000000002</v>
      </c>
      <c r="G21" s="315">
        <f>404.13*(CONSTPCV)</f>
        <v>404.13</v>
      </c>
      <c r="H21" s="86">
        <v>3000</v>
      </c>
      <c r="I21" s="310">
        <f>308.91*(CONSTPCV)</f>
        <v>308.91000000000003</v>
      </c>
      <c r="J21" s="311">
        <f>337.34*(CONSTPCV)</f>
        <v>337.34</v>
      </c>
      <c r="K21" s="311">
        <f>390.11*(CONSTPCV)</f>
        <v>390.11</v>
      </c>
      <c r="L21" s="311">
        <f>462.69*(CONSTPCV)</f>
        <v>462.69</v>
      </c>
      <c r="M21" s="311">
        <f>503.74*(CONSTPCV)</f>
        <v>503.74</v>
      </c>
      <c r="N21" s="315">
        <f>767.19*(CONSTPCV)</f>
        <v>767.19</v>
      </c>
      <c r="O21" s="150"/>
      <c r="P21" s="172" t="s">
        <v>202</v>
      </c>
      <c r="Q21" s="147"/>
      <c r="R21" s="173"/>
      <c r="S21" s="174"/>
      <c r="T21" s="174"/>
      <c r="U21" s="561">
        <f>5.42*(CONSTPCV)</f>
        <v>5.42</v>
      </c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</row>
    <row r="22" spans="1:39" ht="14.25" thickTop="1" thickBot="1" x14ac:dyDescent="0.25">
      <c r="A22" s="628">
        <f>(1-S8)</f>
        <v>1</v>
      </c>
      <c r="B22" s="148"/>
      <c r="C22" s="149"/>
      <c r="D22" s="149"/>
      <c r="E22" s="149"/>
      <c r="F22" s="149"/>
      <c r="G22" s="149"/>
      <c r="H22" s="1"/>
      <c r="I22" s="148"/>
      <c r="J22" s="266"/>
      <c r="K22" s="266"/>
      <c r="L22" s="266"/>
      <c r="M22" s="266"/>
      <c r="N22" s="149"/>
      <c r="O22" s="1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</row>
    <row r="23" spans="1:39" ht="14.25" thickTop="1" thickBot="1" x14ac:dyDescent="0.25">
      <c r="A23" s="4">
        <f>(1-S8)</f>
        <v>1</v>
      </c>
      <c r="B23" s="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396" t="s">
        <v>173</v>
      </c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</row>
    <row r="24" spans="1:39" ht="14.25" thickTop="1" thickBot="1" x14ac:dyDescent="0.25">
      <c r="A24" s="78" t="s">
        <v>173</v>
      </c>
      <c r="B24" s="705" t="s">
        <v>174</v>
      </c>
      <c r="C24" s="706"/>
      <c r="D24" s="706"/>
      <c r="E24" s="706"/>
      <c r="F24" s="706"/>
      <c r="G24" s="707"/>
      <c r="H24" s="78" t="s">
        <v>173</v>
      </c>
      <c r="I24" s="705" t="s">
        <v>174</v>
      </c>
      <c r="J24" s="706"/>
      <c r="K24" s="706"/>
      <c r="L24" s="706"/>
      <c r="M24" s="706"/>
      <c r="N24" s="707"/>
      <c r="O24" s="160"/>
      <c r="P24" s="154">
        <v>44</v>
      </c>
      <c r="R24" s="40" t="s">
        <v>184</v>
      </c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</row>
    <row r="25" spans="1:39" ht="14.25" thickTop="1" thickBot="1" x14ac:dyDescent="0.25">
      <c r="A25" s="78">
        <v>22</v>
      </c>
      <c r="B25" s="300">
        <v>200</v>
      </c>
      <c r="C25" s="303">
        <v>300</v>
      </c>
      <c r="D25" s="303">
        <v>400</v>
      </c>
      <c r="E25" s="304">
        <v>500</v>
      </c>
      <c r="F25" s="304">
        <v>600</v>
      </c>
      <c r="G25" s="301">
        <v>900</v>
      </c>
      <c r="H25" s="78">
        <v>33</v>
      </c>
      <c r="I25" s="300">
        <v>200</v>
      </c>
      <c r="J25" s="299">
        <v>300</v>
      </c>
      <c r="K25" s="299">
        <v>400</v>
      </c>
      <c r="L25" s="302">
        <v>500</v>
      </c>
      <c r="M25" s="302">
        <v>600</v>
      </c>
      <c r="N25" s="301">
        <v>900</v>
      </c>
      <c r="O25" s="161"/>
      <c r="P25" s="305">
        <v>200</v>
      </c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</row>
    <row r="26" spans="1:39" ht="15.75" thickTop="1" x14ac:dyDescent="0.25">
      <c r="A26" s="83">
        <v>400</v>
      </c>
      <c r="B26" s="312"/>
      <c r="C26" s="319">
        <f>115.45*(CONSTPCV)</f>
        <v>115.45</v>
      </c>
      <c r="D26" s="307">
        <f>124.67*(CONSTPCV)</f>
        <v>124.67</v>
      </c>
      <c r="E26" s="307">
        <f>140.07*(CONSTPCV)</f>
        <v>140.07</v>
      </c>
      <c r="F26" s="307">
        <f>147.89*(CONSTPCV)</f>
        <v>147.88999999999999</v>
      </c>
      <c r="G26" s="313">
        <f>193.66*(CONSTPCV)</f>
        <v>193.66</v>
      </c>
      <c r="H26" s="83">
        <v>400</v>
      </c>
      <c r="I26" s="312"/>
      <c r="J26" s="307">
        <f>197.76*(CONSTPCV)</f>
        <v>197.76</v>
      </c>
      <c r="K26" s="307">
        <f>205.86*(CONSTPCV)</f>
        <v>205.86</v>
      </c>
      <c r="L26" s="307">
        <f>230.98*(CONSTPCV)</f>
        <v>230.98</v>
      </c>
      <c r="M26" s="307">
        <f>243.31*(CONSTPCV)</f>
        <v>243.31</v>
      </c>
      <c r="N26" s="313">
        <f>253.02*(CONSTPCV)</f>
        <v>253.02</v>
      </c>
      <c r="O26" s="155"/>
      <c r="P26" s="318"/>
      <c r="R26" s="624"/>
      <c r="S26" s="393" t="s">
        <v>185</v>
      </c>
      <c r="T26" s="273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</row>
    <row r="27" spans="1:39" ht="15" x14ac:dyDescent="0.25">
      <c r="A27" s="84">
        <v>500</v>
      </c>
      <c r="B27" s="251"/>
      <c r="C27" s="320">
        <f>127.48*(CONSTPCV)</f>
        <v>127.48</v>
      </c>
      <c r="D27" s="309">
        <f>135.67*(CONSTPCV)</f>
        <v>135.66999999999999</v>
      </c>
      <c r="E27" s="309">
        <f>153.5*(CONSTPCV)</f>
        <v>153.5</v>
      </c>
      <c r="F27" s="309">
        <f>161.71*(CONSTPCV)</f>
        <v>161.71</v>
      </c>
      <c r="G27" s="314">
        <f>213.18*(CONSTPCV)</f>
        <v>213.18</v>
      </c>
      <c r="H27" s="84">
        <v>500</v>
      </c>
      <c r="I27" s="251"/>
      <c r="J27" s="309">
        <f>208.27*(CONSTPCV)</f>
        <v>208.27</v>
      </c>
      <c r="K27" s="309">
        <f>217.88*(CONSTPCV)</f>
        <v>217.88</v>
      </c>
      <c r="L27" s="309">
        <f>246.23*(CONSTPCV)</f>
        <v>246.23</v>
      </c>
      <c r="M27" s="309">
        <f>259.25*(CONSTPCV)</f>
        <v>259.25</v>
      </c>
      <c r="N27" s="314">
        <f>281.26*(CONSTPCV)</f>
        <v>281.26</v>
      </c>
      <c r="O27" s="158"/>
      <c r="P27" s="252"/>
      <c r="Q27" s="625" t="s">
        <v>187</v>
      </c>
      <c r="R27" s="393" t="s">
        <v>403</v>
      </c>
      <c r="T27" s="273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</row>
    <row r="28" spans="1:39" ht="15" x14ac:dyDescent="0.25">
      <c r="A28" s="84">
        <v>600</v>
      </c>
      <c r="B28" s="321">
        <f>121.37*(CONSTPCV)</f>
        <v>121.37</v>
      </c>
      <c r="C28" s="309">
        <f>138.28*(CONSTPCV)</f>
        <v>138.28</v>
      </c>
      <c r="D28" s="309">
        <f>146.98*(CONSTPCV)</f>
        <v>146.97999999999999</v>
      </c>
      <c r="E28" s="309">
        <f>166.83*(CONSTPCV)</f>
        <v>166.83</v>
      </c>
      <c r="F28" s="309">
        <f>176.42*(CONSTPCV)</f>
        <v>176.42</v>
      </c>
      <c r="G28" s="314">
        <f>232.61*(CONSTPCV)</f>
        <v>232.61</v>
      </c>
      <c r="H28" s="84">
        <v>600</v>
      </c>
      <c r="I28" s="308">
        <f>197.65*(CONSTPCV)</f>
        <v>197.65</v>
      </c>
      <c r="J28" s="309">
        <f>219.29*(CONSTPCV)</f>
        <v>219.29</v>
      </c>
      <c r="K28" s="309">
        <f>230.98*(CONSTPCV)</f>
        <v>230.98</v>
      </c>
      <c r="L28" s="309">
        <f>262.63*(CONSTPCV)</f>
        <v>262.63</v>
      </c>
      <c r="M28" s="309">
        <f>277.04*(CONSTPCV)</f>
        <v>277.04000000000002</v>
      </c>
      <c r="N28" s="314">
        <f>313.01*(CONSTPCV)</f>
        <v>313.01</v>
      </c>
      <c r="O28" s="158">
        <v>0</v>
      </c>
      <c r="P28" s="316">
        <f>235.31*(CONSTPCV)</f>
        <v>235.31</v>
      </c>
      <c r="Q28" t="s">
        <v>404</v>
      </c>
      <c r="T28" s="273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</row>
    <row r="29" spans="1:39" ht="15" x14ac:dyDescent="0.25">
      <c r="A29" s="84">
        <v>700</v>
      </c>
      <c r="B29" s="308">
        <f>129.76*(CONSTPCV)</f>
        <v>129.76</v>
      </c>
      <c r="C29" s="309">
        <f>147.39*(CONSTPCV)</f>
        <v>147.38999999999999</v>
      </c>
      <c r="D29" s="309">
        <f>158.1*(CONSTPCV)</f>
        <v>158.1</v>
      </c>
      <c r="E29" s="309">
        <f>180.32*(CONSTPCV)</f>
        <v>180.32</v>
      </c>
      <c r="F29" s="309">
        <f>190.94*(CONSTPCV)</f>
        <v>190.94</v>
      </c>
      <c r="G29" s="314">
        <f>258.33*(CONSTPCV)</f>
        <v>258.33</v>
      </c>
      <c r="H29" s="84">
        <v>700</v>
      </c>
      <c r="I29" s="308">
        <f>208.97*(CONSTPCV)</f>
        <v>208.97</v>
      </c>
      <c r="J29" s="309">
        <f>231.3*(CONSTPCV)</f>
        <v>231.3</v>
      </c>
      <c r="K29" s="309">
        <f>245.01*(CONSTPCV)</f>
        <v>245.01</v>
      </c>
      <c r="L29" s="309">
        <f>279.55*(CONSTPCV)</f>
        <v>279.55</v>
      </c>
      <c r="M29" s="309">
        <f>296.09*(CONSTPCV)</f>
        <v>296.08999999999997</v>
      </c>
      <c r="N29" s="314">
        <f>349.24*(CONSTPCV)</f>
        <v>349.24</v>
      </c>
      <c r="O29" s="158">
        <v>0</v>
      </c>
      <c r="P29" s="316">
        <f>252.33*(CONSTPCV)</f>
        <v>252.33</v>
      </c>
      <c r="Q29" s="626" t="s">
        <v>188</v>
      </c>
      <c r="R29" s="393" t="s">
        <v>405</v>
      </c>
      <c r="T29" s="273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</row>
    <row r="30" spans="1:39" ht="15" x14ac:dyDescent="0.25">
      <c r="A30" s="84">
        <v>800</v>
      </c>
      <c r="B30" s="308">
        <f>138.89*(CONSTPCV)</f>
        <v>138.88999999999999</v>
      </c>
      <c r="C30" s="309">
        <f>156.91*(CONSTPCV)</f>
        <v>156.91</v>
      </c>
      <c r="D30" s="309">
        <f>168.92*(CONSTPCV)</f>
        <v>168.92</v>
      </c>
      <c r="E30" s="309">
        <f>194.26*(CONSTPCV)</f>
        <v>194.26</v>
      </c>
      <c r="F30" s="309">
        <f>206.57*(CONSTPCV)</f>
        <v>206.57</v>
      </c>
      <c r="G30" s="314">
        <f>282.95*(CONSTPCV)</f>
        <v>282.95</v>
      </c>
      <c r="H30" s="84">
        <v>800</v>
      </c>
      <c r="I30" s="308">
        <f>221.39*(CONSTPCV)</f>
        <v>221.39</v>
      </c>
      <c r="J30" s="309">
        <f>244.41*(CONSTPCV)</f>
        <v>244.41</v>
      </c>
      <c r="K30" s="309">
        <f>259.62*(CONSTPCV)</f>
        <v>259.62</v>
      </c>
      <c r="L30" s="309">
        <f>297.68*(CONSTPCV)</f>
        <v>297.68</v>
      </c>
      <c r="M30" s="309">
        <f>316.5*(CONSTPCV)</f>
        <v>316.5</v>
      </c>
      <c r="N30" s="314">
        <f>389.8*(CONSTPCV)</f>
        <v>389.8</v>
      </c>
      <c r="O30" s="158">
        <v>0</v>
      </c>
      <c r="P30" s="316">
        <f>270.45*(CONSTPCV)</f>
        <v>270.45</v>
      </c>
      <c r="Q30" s="270" t="s">
        <v>406</v>
      </c>
      <c r="R30" s="264"/>
      <c r="T30" s="273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</row>
    <row r="31" spans="1:39" ht="15" x14ac:dyDescent="0.25">
      <c r="A31" s="84">
        <v>900</v>
      </c>
      <c r="B31" s="308">
        <f>147.39*(CONSTPCV)</f>
        <v>147.38999999999999</v>
      </c>
      <c r="C31" s="309">
        <f>166.03*(CONSTPCV)</f>
        <v>166.03</v>
      </c>
      <c r="D31" s="309">
        <f>179.94*(CONSTPCV)</f>
        <v>179.94</v>
      </c>
      <c r="E31" s="309">
        <f>207.67*(CONSTPCV)</f>
        <v>207.67</v>
      </c>
      <c r="F31" s="309">
        <f>221.38*(CONSTPCV)</f>
        <v>221.38</v>
      </c>
      <c r="G31" s="314">
        <f>308.69*(CONSTPCV)</f>
        <v>308.69</v>
      </c>
      <c r="H31" s="84">
        <v>900</v>
      </c>
      <c r="I31" s="308">
        <f>233.1*(CONSTPCV)</f>
        <v>233.1</v>
      </c>
      <c r="J31" s="309">
        <f>256.93*(CONSTPCV)</f>
        <v>256.93</v>
      </c>
      <c r="K31" s="309">
        <f>275.45*(CONSTPCV)</f>
        <v>275.45</v>
      </c>
      <c r="L31" s="309">
        <f>317.82*(CONSTPCV)</f>
        <v>317.82</v>
      </c>
      <c r="M31" s="309">
        <f>338.04*(CONSTPCV)</f>
        <v>338.04</v>
      </c>
      <c r="N31" s="314">
        <f>413.93*(CONSTPCV)</f>
        <v>413.93</v>
      </c>
      <c r="O31" s="158">
        <v>0</v>
      </c>
      <c r="P31" s="316">
        <f>287.37*(CONSTPCV)</f>
        <v>287.37</v>
      </c>
      <c r="R31" s="626" t="s">
        <v>189</v>
      </c>
      <c r="S31" s="393" t="s">
        <v>405</v>
      </c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</row>
    <row r="32" spans="1:39" ht="15" x14ac:dyDescent="0.25">
      <c r="A32" s="84">
        <v>1000</v>
      </c>
      <c r="B32" s="308">
        <f>156.2*(CONSTPCV)</f>
        <v>156.19999999999999</v>
      </c>
      <c r="C32" s="309">
        <f>175.33*(CONSTPCV)</f>
        <v>175.33</v>
      </c>
      <c r="D32" s="309">
        <f>190.85*(CONSTPCV)</f>
        <v>190.85</v>
      </c>
      <c r="E32" s="309">
        <f>221.09*(CONSTPCV)</f>
        <v>221.09</v>
      </c>
      <c r="F32" s="309">
        <f>236.59*(CONSTPCV)</f>
        <v>236.59</v>
      </c>
      <c r="G32" s="314">
        <f>333.83*(CONSTPCV)</f>
        <v>333.83</v>
      </c>
      <c r="H32" s="84">
        <v>1000</v>
      </c>
      <c r="I32" s="308">
        <f>244.92*(CONSTPCV)</f>
        <v>244.92</v>
      </c>
      <c r="J32" s="309">
        <f>269.46*(CONSTPCV)</f>
        <v>269.45999999999998</v>
      </c>
      <c r="K32" s="309">
        <f>291.07*(CONSTPCV)</f>
        <v>291.07</v>
      </c>
      <c r="L32" s="309">
        <f>337.14*(CONSTPCV)</f>
        <v>337.14</v>
      </c>
      <c r="M32" s="309">
        <f>359.67*(CONSTPCV)</f>
        <v>359.67</v>
      </c>
      <c r="N32" s="314">
        <f>440.67*(CONSTPCV)</f>
        <v>440.67</v>
      </c>
      <c r="O32" s="158">
        <v>0</v>
      </c>
      <c r="P32" s="316">
        <f>305.09*(CONSTPCV)</f>
        <v>305.08999999999997</v>
      </c>
      <c r="Q32" s="627" t="s">
        <v>459</v>
      </c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</row>
    <row r="33" spans="1:52" ht="15" x14ac:dyDescent="0.25">
      <c r="A33" s="84">
        <v>1100</v>
      </c>
      <c r="B33" s="308">
        <f>164.7*(CONSTPCV)</f>
        <v>164.7</v>
      </c>
      <c r="C33" s="309">
        <f>184.34*(CONSTPCV)</f>
        <v>184.34</v>
      </c>
      <c r="D33" s="309">
        <f>202.37*(CONSTPCV)</f>
        <v>202.37</v>
      </c>
      <c r="E33" s="309">
        <f>234.51*(CONSTPCV)</f>
        <v>234.51</v>
      </c>
      <c r="F33" s="309">
        <f>251.12*(CONSTPCV)</f>
        <v>251.12</v>
      </c>
      <c r="G33" s="314">
        <f>358.87*(CONSTPCV)</f>
        <v>358.87</v>
      </c>
      <c r="H33" s="84">
        <v>1100</v>
      </c>
      <c r="I33" s="308">
        <f>257.54*(CONSTPCV)</f>
        <v>257.54000000000002</v>
      </c>
      <c r="J33" s="309">
        <f>282.77*(CONSTPCV)</f>
        <v>282.77</v>
      </c>
      <c r="K33" s="309">
        <f>307.28*(CONSTPCV)</f>
        <v>307.27999999999997</v>
      </c>
      <c r="L33" s="309">
        <f>356.76*(CONSTPCV)</f>
        <v>356.76</v>
      </c>
      <c r="M33" s="309">
        <f>381.38*(CONSTPCV)</f>
        <v>381.38</v>
      </c>
      <c r="N33" s="314">
        <f>469.01*(CONSTPCV)</f>
        <v>469.01</v>
      </c>
      <c r="O33" s="158">
        <v>0</v>
      </c>
      <c r="P33" s="316">
        <f>322.31*(CONSTPCV)</f>
        <v>322.31</v>
      </c>
      <c r="Q33" s="761" t="s">
        <v>458</v>
      </c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</row>
    <row r="34" spans="1:52" ht="15" x14ac:dyDescent="0.25">
      <c r="A34" s="84">
        <v>1200</v>
      </c>
      <c r="B34" s="308">
        <f>172.81*(CONSTPCV)</f>
        <v>172.81</v>
      </c>
      <c r="C34" s="309">
        <f>193.16*(CONSTPCV)</f>
        <v>193.16</v>
      </c>
      <c r="D34" s="309">
        <f>213.48*(CONSTPCV)</f>
        <v>213.48</v>
      </c>
      <c r="E34" s="309">
        <f>248.02*(CONSTPCV)</f>
        <v>248.02</v>
      </c>
      <c r="F34" s="309">
        <f>266.54*(CONSTPCV)</f>
        <v>266.54000000000002</v>
      </c>
      <c r="G34" s="314">
        <f>384.49*(CONSTPCV)</f>
        <v>384.49</v>
      </c>
      <c r="H34" s="84">
        <v>1200</v>
      </c>
      <c r="I34" s="308">
        <f>269.64*(CONSTPCV)</f>
        <v>269.64</v>
      </c>
      <c r="J34" s="309">
        <f>295.67*(CONSTPCV)</f>
        <v>295.67</v>
      </c>
      <c r="K34" s="309">
        <f>323.72*(CONSTPCV)</f>
        <v>323.72000000000003</v>
      </c>
      <c r="L34" s="309">
        <f>376.49*(CONSTPCV)</f>
        <v>376.49</v>
      </c>
      <c r="M34" s="309">
        <f>403.01*(CONSTPCV)</f>
        <v>403.01</v>
      </c>
      <c r="N34" s="314">
        <f>499.25*(CONSTPCV)</f>
        <v>499.25</v>
      </c>
      <c r="O34" s="158">
        <v>0</v>
      </c>
      <c r="P34" s="316">
        <f>338.65*(CONSTPCV)</f>
        <v>338.65</v>
      </c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</row>
    <row r="35" spans="1:52" ht="15" x14ac:dyDescent="0.25">
      <c r="A35" s="84">
        <v>1400</v>
      </c>
      <c r="B35" s="308">
        <f>190.35*(CONSTPCV)</f>
        <v>190.35</v>
      </c>
      <c r="C35" s="309">
        <f>211.47*(CONSTPCV)</f>
        <v>211.47</v>
      </c>
      <c r="D35" s="309">
        <f>235.8*(CONSTPCV)</f>
        <v>235.8</v>
      </c>
      <c r="E35" s="309">
        <f>275.37*(CONSTPCV)</f>
        <v>275.37</v>
      </c>
      <c r="F35" s="309">
        <f>296.89*(CONSTPCV)</f>
        <v>296.89</v>
      </c>
      <c r="G35" s="314">
        <f>434.96*(CONSTPCV)</f>
        <v>434.96</v>
      </c>
      <c r="H35" s="84">
        <v>1400</v>
      </c>
      <c r="I35" s="308">
        <f>294.18*(CONSTPCV)</f>
        <v>294.18</v>
      </c>
      <c r="J35" s="309">
        <f>321.72*(CONSTPCV)</f>
        <v>321.72000000000003</v>
      </c>
      <c r="K35" s="309">
        <f>355.26*(CONSTPCV)</f>
        <v>355.26</v>
      </c>
      <c r="L35" s="309">
        <f>415.14*(CONSTPCV)</f>
        <v>415.14</v>
      </c>
      <c r="M35" s="309">
        <f>446.08*(CONSTPCV)</f>
        <v>446.08</v>
      </c>
      <c r="N35" s="314">
        <f>552.41*(CONSTPCV)</f>
        <v>552.41</v>
      </c>
      <c r="O35" s="158">
        <v>0</v>
      </c>
      <c r="P35" s="316">
        <f>373.28*(CONSTPCV)</f>
        <v>373.28</v>
      </c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</row>
    <row r="36" spans="1:52" ht="15" x14ac:dyDescent="0.25">
      <c r="A36" s="84">
        <v>1600</v>
      </c>
      <c r="B36" s="308">
        <f>207.58*(CONSTPCV)</f>
        <v>207.58</v>
      </c>
      <c r="C36" s="309">
        <f>229.8*(CONSTPCV)</f>
        <v>229.8</v>
      </c>
      <c r="D36" s="309">
        <f>257.94*(CONSTPCV)</f>
        <v>257.94</v>
      </c>
      <c r="E36" s="309">
        <f>302.5*(CONSTPCV)</f>
        <v>302.5</v>
      </c>
      <c r="F36" s="309">
        <f>326.71*(CONSTPCV)</f>
        <v>326.70999999999998</v>
      </c>
      <c r="G36" s="314">
        <f>485.42*(CONSTPCV)</f>
        <v>485.42</v>
      </c>
      <c r="H36" s="84">
        <v>1600</v>
      </c>
      <c r="I36" s="308">
        <f>318.61*(CONSTPCV)</f>
        <v>318.61</v>
      </c>
      <c r="J36" s="309">
        <f>347.55*(CONSTPCV)</f>
        <v>347.55</v>
      </c>
      <c r="K36" s="309">
        <f>386.9*(CONSTPCV)</f>
        <v>386.9</v>
      </c>
      <c r="L36" s="309">
        <f>454.38*(CONSTPCV)</f>
        <v>454.38</v>
      </c>
      <c r="M36" s="309">
        <f>489.85*(CONSTPCV)</f>
        <v>489.85</v>
      </c>
      <c r="N36" s="314">
        <f>603.98*(CONSTPCV)</f>
        <v>603.98</v>
      </c>
      <c r="O36" s="158">
        <v>0</v>
      </c>
      <c r="P36" s="316">
        <f>407.82*(CONSTPCV)</f>
        <v>407.82</v>
      </c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</row>
    <row r="37" spans="1:52" ht="15" x14ac:dyDescent="0.25">
      <c r="A37" s="84">
        <v>1800</v>
      </c>
      <c r="B37" s="308">
        <f>225.19*(CONSTPCV)</f>
        <v>225.19</v>
      </c>
      <c r="C37" s="309">
        <f>248.52*(CONSTPCV)</f>
        <v>248.52</v>
      </c>
      <c r="D37" s="309">
        <f>279.97*(CONSTPCV)</f>
        <v>279.97000000000003</v>
      </c>
      <c r="E37" s="309">
        <f>329.81*(CONSTPCV)</f>
        <v>329.81</v>
      </c>
      <c r="F37" s="309">
        <f>356.97*(CONSTPCV)</f>
        <v>356.97</v>
      </c>
      <c r="G37" s="314">
        <f>535.79*(CONSTPCV)</f>
        <v>535.79</v>
      </c>
      <c r="H37" s="84">
        <v>1800</v>
      </c>
      <c r="I37" s="308">
        <f>335.62*(CONSTPCV)</f>
        <v>335.62</v>
      </c>
      <c r="J37" s="309">
        <f>365.56*(CONSTPCV)</f>
        <v>365.56</v>
      </c>
      <c r="K37" s="309">
        <f>419.05*(CONSTPCV)</f>
        <v>419.05</v>
      </c>
      <c r="L37" s="309">
        <f>493.13*(CONSTPCV)</f>
        <v>493.13</v>
      </c>
      <c r="M37" s="309">
        <f>532.88*(CONSTPCV)</f>
        <v>532.88</v>
      </c>
      <c r="N37" s="314">
        <f>660.45*(CONSTPCV)</f>
        <v>660.45</v>
      </c>
      <c r="O37" s="158">
        <v>0</v>
      </c>
      <c r="P37" s="316">
        <f>443.07*(CONSTPCV)</f>
        <v>443.07</v>
      </c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</row>
    <row r="38" spans="1:52" ht="15" x14ac:dyDescent="0.25">
      <c r="A38" s="84">
        <v>2000</v>
      </c>
      <c r="B38" s="308">
        <f>242.33*(CONSTPCV)</f>
        <v>242.33</v>
      </c>
      <c r="C38" s="309">
        <f>266.75*(CONSTPCV)</f>
        <v>266.75</v>
      </c>
      <c r="D38" s="309">
        <f>302.88*(CONSTPCV)</f>
        <v>302.88</v>
      </c>
      <c r="E38" s="309">
        <f>356.97*(CONSTPCV)</f>
        <v>356.97</v>
      </c>
      <c r="F38" s="309">
        <f>387*(CONSTPCV)</f>
        <v>387</v>
      </c>
      <c r="G38" s="314">
        <f>586.96*(CONSTPCV)</f>
        <v>586.96</v>
      </c>
      <c r="H38" s="84">
        <v>2000</v>
      </c>
      <c r="I38" s="308">
        <f>367.17*(CONSTPCV)</f>
        <v>367.17</v>
      </c>
      <c r="J38" s="309">
        <f>399.12*(CONSTPCV)</f>
        <v>399.12</v>
      </c>
      <c r="K38" s="309">
        <f>450.78*(CONSTPCV)</f>
        <v>450.78</v>
      </c>
      <c r="L38" s="309">
        <f>531.98*(CONSTPCV)</f>
        <v>531.98</v>
      </c>
      <c r="M38" s="309">
        <f>576.85*(CONSTPCV)</f>
        <v>576.85</v>
      </c>
      <c r="N38" s="314">
        <f>710.62*(CONSTPCV)</f>
        <v>710.62</v>
      </c>
      <c r="O38" s="158">
        <v>0</v>
      </c>
      <c r="P38" s="316">
        <f>477.41*(CONSTPCV)</f>
        <v>477.41</v>
      </c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</row>
    <row r="39" spans="1:52" ht="15" x14ac:dyDescent="0.25">
      <c r="A39" s="84">
        <v>2300</v>
      </c>
      <c r="B39" s="308">
        <f>268.34*(CONSTPCV)</f>
        <v>268.33999999999997</v>
      </c>
      <c r="C39" s="309">
        <f>294.28*(CONSTPCV)</f>
        <v>294.27999999999997</v>
      </c>
      <c r="D39" s="309">
        <f>336.13*(CONSTPCV)</f>
        <v>336.13</v>
      </c>
      <c r="E39" s="309">
        <f>398.02*(CONSTPCV)</f>
        <v>398.02</v>
      </c>
      <c r="F39" s="309">
        <f>432.56*(CONSTPCV)</f>
        <v>432.56</v>
      </c>
      <c r="G39" s="314">
        <f>658.15*(CONSTPCV)</f>
        <v>658.15</v>
      </c>
      <c r="H39" s="84">
        <v>2300</v>
      </c>
      <c r="I39" s="308">
        <f>404.14*(CONSTPCV)</f>
        <v>404.14</v>
      </c>
      <c r="J39" s="309">
        <f>438.06*(CONSTPCV)</f>
        <v>438.06</v>
      </c>
      <c r="K39" s="309">
        <f>498.94*(CONSTPCV)</f>
        <v>498.94</v>
      </c>
      <c r="L39" s="309">
        <f>591.06*(CONSTPCV)</f>
        <v>591.05999999999995</v>
      </c>
      <c r="M39" s="309">
        <f>641.64*(CONSTPCV)</f>
        <v>641.64</v>
      </c>
      <c r="N39" s="314">
        <f>764.08*(CONSTPCV)</f>
        <v>764.08</v>
      </c>
      <c r="O39" s="158">
        <v>0</v>
      </c>
      <c r="P39" s="316">
        <f>529.48*(CONSTPCV)</f>
        <v>529.48</v>
      </c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</row>
    <row r="40" spans="1:52" ht="15" x14ac:dyDescent="0.25">
      <c r="A40" s="84">
        <v>2600</v>
      </c>
      <c r="B40" s="308">
        <f>294.18*(CONSTPCV)</f>
        <v>294.18</v>
      </c>
      <c r="C40" s="309">
        <f>321.72*(CONSTPCV)</f>
        <v>321.72000000000003</v>
      </c>
      <c r="D40" s="309">
        <f>369.78*(CONSTPCV)</f>
        <v>369.78</v>
      </c>
      <c r="E40" s="309">
        <f>438.86*(CONSTPCV)</f>
        <v>438.86</v>
      </c>
      <c r="F40" s="309">
        <f>477.82*(CONSTPCV)</f>
        <v>477.82</v>
      </c>
      <c r="G40" s="314">
        <f>726.64*(CONSTPCV)</f>
        <v>726.64</v>
      </c>
      <c r="H40" s="84">
        <v>2600</v>
      </c>
      <c r="I40" s="308">
        <f>440.56*(CONSTPCV)</f>
        <v>440.56</v>
      </c>
      <c r="J40" s="309">
        <f>476.91*(CONSTPCV)</f>
        <v>476.91</v>
      </c>
      <c r="K40" s="309">
        <f>546.42*(CONSTPCV)</f>
        <v>546.41999999999996</v>
      </c>
      <c r="L40" s="309">
        <f>649.53*(CONSTPCV)</f>
        <v>649.53</v>
      </c>
      <c r="M40" s="309">
        <f>707.21*(CONSTPCV)</f>
        <v>707.21</v>
      </c>
      <c r="N40" s="314">
        <f>842.27*(CONSTPCV)</f>
        <v>842.27</v>
      </c>
      <c r="O40" s="158">
        <v>0</v>
      </c>
      <c r="P40" s="316">
        <f>581.05*(CONSTPCV)</f>
        <v>581.04999999999995</v>
      </c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</row>
    <row r="41" spans="1:52" ht="15.75" thickBot="1" x14ac:dyDescent="0.3">
      <c r="A41" s="86">
        <v>3000</v>
      </c>
      <c r="B41" s="310">
        <f>328.71*(CONSTPCV)</f>
        <v>328.71</v>
      </c>
      <c r="C41" s="311">
        <f>358.46*(CONSTPCV)</f>
        <v>358.46</v>
      </c>
      <c r="D41" s="311">
        <f>414.53*(CONSTPCV)</f>
        <v>414.53</v>
      </c>
      <c r="E41" s="311">
        <f>493.13*(CONSTPCV)</f>
        <v>493.13</v>
      </c>
      <c r="F41" s="311">
        <f>537.88*(CONSTPCV)</f>
        <v>537.88</v>
      </c>
      <c r="G41" s="315">
        <f>819.85*(CONSTPCV)</f>
        <v>819.85</v>
      </c>
      <c r="H41" s="86">
        <v>3000</v>
      </c>
      <c r="I41" s="310">
        <f>478.43*(CONSTPCV)</f>
        <v>478.43</v>
      </c>
      <c r="J41" s="311">
        <f>517.06*(CONSTPCV)</f>
        <v>517.05999999999995</v>
      </c>
      <c r="K41" s="311">
        <f>597.87*(CONSTPCV)</f>
        <v>597.87</v>
      </c>
      <c r="L41" s="311">
        <f>713.62*(CONSTPCV)</f>
        <v>713.62</v>
      </c>
      <c r="M41" s="311">
        <f>778.91*(CONSTPCV)</f>
        <v>778.91</v>
      </c>
      <c r="N41" s="315">
        <f>928.9*(CONSTPCV)</f>
        <v>928.9</v>
      </c>
      <c r="O41" s="159">
        <v>0</v>
      </c>
      <c r="P41" s="317">
        <f>650.23*(CONSTPCV)</f>
        <v>650.23</v>
      </c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</row>
    <row r="42" spans="1:52" ht="13.5" thickTop="1" x14ac:dyDescent="0.2">
      <c r="A42" s="43"/>
      <c r="B42" s="43"/>
      <c r="C42" s="43"/>
      <c r="D42" s="43"/>
      <c r="E42" s="43"/>
      <c r="F42" s="43"/>
      <c r="G42" s="43"/>
      <c r="H42" s="43"/>
      <c r="I42" s="393"/>
      <c r="J42" s="273"/>
      <c r="K42" s="273"/>
      <c r="L42" s="273"/>
      <c r="M42" s="273"/>
      <c r="N42" s="43"/>
      <c r="O42" s="43"/>
      <c r="P42" s="43"/>
      <c r="Q42" s="43"/>
      <c r="R42" s="43"/>
      <c r="S42" s="43"/>
      <c r="T42" s="43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Z42" s="1"/>
    </row>
    <row r="43" spans="1:52" x14ac:dyDescent="0.2">
      <c r="E43" s="43"/>
      <c r="F43" s="43"/>
      <c r="G43" s="43"/>
      <c r="H43" s="394"/>
      <c r="I43" s="393"/>
      <c r="J43" s="273"/>
      <c r="K43" s="273"/>
      <c r="L43" s="273"/>
      <c r="M43" s="273"/>
      <c r="N43" s="43"/>
      <c r="O43" s="43"/>
      <c r="P43" s="43"/>
      <c r="Q43" s="43"/>
      <c r="R43" s="43"/>
      <c r="S43" s="43"/>
      <c r="T43" s="43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Z43" s="1"/>
    </row>
    <row r="44" spans="1:52" x14ac:dyDescent="0.2">
      <c r="A44" s="709" t="s">
        <v>364</v>
      </c>
      <c r="B44" s="709"/>
      <c r="C44" s="709"/>
      <c r="D44" s="709"/>
      <c r="E44" s="709"/>
      <c r="F44" s="43"/>
      <c r="G44" s="43"/>
      <c r="H44" s="395"/>
      <c r="M44" s="273"/>
      <c r="N44" s="43"/>
      <c r="O44" s="43"/>
      <c r="P44" s="43"/>
      <c r="Q44" s="43"/>
      <c r="R44" s="43"/>
      <c r="S44" s="43"/>
      <c r="T44" s="43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Z44" s="1"/>
    </row>
    <row r="45" spans="1:52" ht="13.5" thickBot="1" x14ac:dyDescent="0.25">
      <c r="A45" s="271"/>
      <c r="B45" s="271"/>
      <c r="C45" s="617" t="s">
        <v>411</v>
      </c>
      <c r="D45" s="271"/>
      <c r="E45" s="271"/>
      <c r="F45" s="43"/>
      <c r="G45" s="43"/>
      <c r="H45" s="394"/>
      <c r="M45" s="273"/>
      <c r="N45" s="43"/>
      <c r="O45" s="43"/>
      <c r="P45" s="43"/>
      <c r="Q45" s="43"/>
      <c r="R45" s="43"/>
      <c r="S45" s="43"/>
      <c r="T45" s="43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Z45" s="1"/>
    </row>
    <row r="46" spans="1:52" ht="14.25" thickTop="1" thickBot="1" x14ac:dyDescent="0.25">
      <c r="A46" s="78"/>
      <c r="B46" s="705" t="s">
        <v>1</v>
      </c>
      <c r="C46" s="706"/>
      <c r="D46" s="706"/>
      <c r="E46" s="707"/>
      <c r="F46" s="43"/>
      <c r="G46" s="43"/>
      <c r="H46" s="394"/>
      <c r="M46" s="273"/>
      <c r="N46" s="43"/>
      <c r="O46" s="43"/>
      <c r="P46" s="43"/>
      <c r="Q46" s="43"/>
      <c r="R46" s="43"/>
      <c r="S46" s="43"/>
      <c r="T46" s="43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Z46" s="1"/>
    </row>
    <row r="47" spans="1:52" ht="14.25" thickTop="1" thickBot="1" x14ac:dyDescent="0.25">
      <c r="A47" s="78"/>
      <c r="B47" s="82">
        <v>21</v>
      </c>
      <c r="C47" s="79">
        <v>22</v>
      </c>
      <c r="D47" s="79">
        <v>33</v>
      </c>
      <c r="E47" s="81">
        <v>44</v>
      </c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</row>
    <row r="48" spans="1:52" ht="13.5" thickTop="1" x14ac:dyDescent="0.2">
      <c r="A48" s="84">
        <v>600</v>
      </c>
      <c r="B48" s="347">
        <f>154.62*(CONSTPCV)</f>
        <v>154.62</v>
      </c>
      <c r="C48" s="348">
        <f>163.85*(CONSTPCV)</f>
        <v>163.85</v>
      </c>
      <c r="D48" s="348">
        <f>266.83*(CONSTPCV)</f>
        <v>266.83</v>
      </c>
      <c r="E48" s="349">
        <f>317.67*(CONSTPCV)</f>
        <v>317.67</v>
      </c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</row>
    <row r="49" spans="1:39" x14ac:dyDescent="0.2">
      <c r="A49" s="84">
        <v>700</v>
      </c>
      <c r="B49" s="350">
        <f>166.05*(CONSTPCV)</f>
        <v>166.05</v>
      </c>
      <c r="C49" s="351">
        <f>175.18*(CONSTPCV)</f>
        <v>175.18</v>
      </c>
      <c r="D49" s="351">
        <f>282.11*(CONSTPCV)</f>
        <v>282.11</v>
      </c>
      <c r="E49" s="352">
        <f>340.65*(CONSTPCV)</f>
        <v>340.65</v>
      </c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</row>
    <row r="50" spans="1:39" x14ac:dyDescent="0.2">
      <c r="A50" s="84">
        <v>800</v>
      </c>
      <c r="B50" s="350">
        <f>177.89*(CONSTPCV)</f>
        <v>177.89</v>
      </c>
      <c r="C50" s="351">
        <f>187.5*(CONSTPCV)</f>
        <v>187.5</v>
      </c>
      <c r="D50" s="351">
        <f>298.88*(CONSTPCV)</f>
        <v>298.88</v>
      </c>
      <c r="E50" s="352">
        <f>365.11*(CONSTPCV)</f>
        <v>365.11</v>
      </c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</row>
    <row r="51" spans="1:39" x14ac:dyDescent="0.2">
      <c r="A51" s="84">
        <v>900</v>
      </c>
      <c r="B51" s="350">
        <f>188.7*(CONSTPCV)</f>
        <v>188.7</v>
      </c>
      <c r="C51" s="351">
        <f>198.98*(CONSTPCV)</f>
        <v>198.98</v>
      </c>
      <c r="D51" s="351">
        <f>314.69*(CONSTPCV)</f>
        <v>314.69</v>
      </c>
      <c r="E51" s="352">
        <f>387.95*(CONSTPCV)</f>
        <v>387.95</v>
      </c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</row>
    <row r="52" spans="1:39" x14ac:dyDescent="0.2">
      <c r="A52" s="84">
        <v>1000</v>
      </c>
      <c r="B52" s="350">
        <f>199.5*(CONSTPCV)</f>
        <v>199.5</v>
      </c>
      <c r="C52" s="351">
        <f>210.87*(CONSTPCV)</f>
        <v>210.87</v>
      </c>
      <c r="D52" s="351">
        <f>330.64*(CONSTPCV)</f>
        <v>330.64</v>
      </c>
      <c r="E52" s="352">
        <f>411.87*(CONSTPCV)</f>
        <v>411.87</v>
      </c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</row>
    <row r="53" spans="1:39" x14ac:dyDescent="0.2">
      <c r="A53" s="84">
        <v>1100</v>
      </c>
      <c r="B53" s="350">
        <f>210.36*(CONSTPCV)</f>
        <v>210.36</v>
      </c>
      <c r="C53" s="351">
        <f>222.35*(CONSTPCV)</f>
        <v>222.35</v>
      </c>
      <c r="D53" s="351">
        <f>347.68*(CONSTPCV)</f>
        <v>347.68</v>
      </c>
      <c r="E53" s="352">
        <f>435.12*(CONSTPCV)</f>
        <v>435.12</v>
      </c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</row>
    <row r="54" spans="1:39" x14ac:dyDescent="0.2">
      <c r="A54" s="84">
        <v>1200</v>
      </c>
      <c r="B54" s="350">
        <f>220.74*(CONSTPCV)</f>
        <v>220.74</v>
      </c>
      <c r="C54" s="351">
        <f>233.29*(CONSTPCV)</f>
        <v>233.29</v>
      </c>
      <c r="D54" s="351">
        <f>364.01*(CONSTPCV)</f>
        <v>364.01</v>
      </c>
      <c r="E54" s="352">
        <f>457.18*(CONSTPCV)</f>
        <v>457.18</v>
      </c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</row>
    <row r="55" spans="1:39" x14ac:dyDescent="0.2">
      <c r="A55" s="84">
        <v>1400</v>
      </c>
      <c r="B55" s="350">
        <f>242.23*(CONSTPCV)</f>
        <v>242.23</v>
      </c>
      <c r="C55" s="351">
        <f>256.97*(CONSTPCV)</f>
        <v>256.97000000000003</v>
      </c>
      <c r="D55" s="351">
        <f>397.14*(CONSTPCV)</f>
        <v>397.14</v>
      </c>
      <c r="E55" s="352">
        <f>503.93*(CONSTPCV)</f>
        <v>503.93</v>
      </c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</row>
    <row r="56" spans="1:39" x14ac:dyDescent="0.2">
      <c r="A56" s="84">
        <v>1600</v>
      </c>
      <c r="B56" s="350">
        <f>264.14*(CONSTPCV)</f>
        <v>264.14</v>
      </c>
      <c r="C56" s="351">
        <f>280.23*(CONSTPCV)</f>
        <v>280.23</v>
      </c>
      <c r="D56" s="351">
        <f>430.12*(CONSTPCV)</f>
        <v>430.12</v>
      </c>
      <c r="E56" s="352">
        <f>550.56*(CONSTPCV)</f>
        <v>550.55999999999995</v>
      </c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</row>
    <row r="57" spans="1:39" x14ac:dyDescent="0.2">
      <c r="A57" s="84">
        <v>1800</v>
      </c>
      <c r="B57" s="350">
        <f>287.12*(CONSTPCV)</f>
        <v>287.12</v>
      </c>
      <c r="C57" s="351">
        <f>304.01*(CONSTPCV)</f>
        <v>304.01</v>
      </c>
      <c r="D57" s="351">
        <f>453.09*(CONSTPCV)</f>
        <v>453.09</v>
      </c>
      <c r="E57" s="352">
        <f>598.14*(CONSTPCV)</f>
        <v>598.14</v>
      </c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</row>
    <row r="58" spans="1:39" x14ac:dyDescent="0.2">
      <c r="A58" s="84">
        <v>2000</v>
      </c>
      <c r="B58" s="350">
        <f>307.79*(CONSTPCV)</f>
        <v>307.79000000000002</v>
      </c>
      <c r="C58" s="351">
        <f>327.15*(CONSTPCV)</f>
        <v>327.14999999999998</v>
      </c>
      <c r="D58" s="351">
        <f>495.68*(CONSTPCV)</f>
        <v>495.68</v>
      </c>
      <c r="E58" s="352">
        <f>644.5*(CONSTPCV)</f>
        <v>644.5</v>
      </c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</row>
    <row r="59" spans="1:39" x14ac:dyDescent="0.2">
      <c r="A59" s="84">
        <v>2300</v>
      </c>
      <c r="B59" s="350">
        <f>340.77*(CONSTPCV)</f>
        <v>340.77</v>
      </c>
      <c r="C59" s="351">
        <f>362.26*(CONSTPCV)</f>
        <v>362.26</v>
      </c>
      <c r="D59" s="351">
        <f>545.59*(CONSTPCV)</f>
        <v>545.59</v>
      </c>
      <c r="E59" s="352">
        <f>714.8*(CONSTPCV)</f>
        <v>714.8</v>
      </c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</row>
    <row r="60" spans="1:39" x14ac:dyDescent="0.2">
      <c r="A60" s="84">
        <v>2600</v>
      </c>
      <c r="B60" s="350">
        <f>379.03*(CONSTPCV)</f>
        <v>379.03</v>
      </c>
      <c r="C60" s="351">
        <f>397.14*(CONSTPCV)</f>
        <v>397.14</v>
      </c>
      <c r="D60" s="351">
        <f>594.76*(CONSTPCV)</f>
        <v>594.76</v>
      </c>
      <c r="E60" s="352">
        <f>784.42*(CONSTPCV)</f>
        <v>784.42</v>
      </c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</row>
    <row r="61" spans="1:39" ht="13.5" thickBot="1" x14ac:dyDescent="0.25">
      <c r="A61" s="86">
        <v>3000</v>
      </c>
      <c r="B61" s="353">
        <f>417.03*(CONSTPCV)</f>
        <v>417.03</v>
      </c>
      <c r="C61" s="354">
        <f>443.76*(CONSTPCV)</f>
        <v>443.76</v>
      </c>
      <c r="D61" s="354">
        <f>645.88*(CONSTPCV)</f>
        <v>645.88</v>
      </c>
      <c r="E61" s="355">
        <f>877.81*(CONSTPCV)</f>
        <v>877.81</v>
      </c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</row>
    <row r="62" spans="1:39" ht="13.5" thickTop="1" x14ac:dyDescent="0.2"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</row>
    <row r="63" spans="1:39" x14ac:dyDescent="0.2"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</row>
    <row r="64" spans="1:39" x14ac:dyDescent="0.2"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</row>
    <row r="65" spans="23:39" x14ac:dyDescent="0.2"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</row>
    <row r="66" spans="23:39" x14ac:dyDescent="0.2"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</row>
    <row r="67" spans="23:39" x14ac:dyDescent="0.2"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</row>
    <row r="68" spans="23:39" x14ac:dyDescent="0.2"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</row>
    <row r="69" spans="23:39" x14ac:dyDescent="0.2"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</row>
    <row r="70" spans="23:39" x14ac:dyDescent="0.2">
      <c r="W70" s="482"/>
      <c r="X70" s="482"/>
      <c r="Y70" s="482"/>
      <c r="Z70" s="482"/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</row>
    <row r="71" spans="23:39" x14ac:dyDescent="0.2"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</row>
    <row r="72" spans="23:39" x14ac:dyDescent="0.2"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</row>
    <row r="73" spans="23:39" x14ac:dyDescent="0.2"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</row>
    <row r="74" spans="23:39" x14ac:dyDescent="0.2"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</row>
    <row r="75" spans="23:39" x14ac:dyDescent="0.2"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</row>
    <row r="76" spans="23:39" x14ac:dyDescent="0.2"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</row>
    <row r="77" spans="23:39" x14ac:dyDescent="0.2"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</row>
    <row r="78" spans="23:39" x14ac:dyDescent="0.2"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</row>
    <row r="79" spans="23:39" x14ac:dyDescent="0.2"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</row>
    <row r="80" spans="23:39" x14ac:dyDescent="0.2"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</row>
    <row r="81" spans="23:39" x14ac:dyDescent="0.2"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</row>
    <row r="82" spans="23:39" x14ac:dyDescent="0.2"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</row>
    <row r="83" spans="23:39" x14ac:dyDescent="0.2">
      <c r="W83" s="482"/>
      <c r="X83" s="482"/>
      <c r="Y83" s="482"/>
      <c r="Z83" s="482"/>
      <c r="AA83" s="482"/>
      <c r="AB83" s="482"/>
      <c r="AC83" s="482"/>
      <c r="AD83" s="482"/>
      <c r="AE83" s="482"/>
      <c r="AF83" s="482"/>
      <c r="AG83" s="482"/>
      <c r="AH83" s="482"/>
      <c r="AI83" s="482"/>
      <c r="AJ83" s="482"/>
      <c r="AK83" s="482"/>
      <c r="AL83" s="482"/>
      <c r="AM83" s="482"/>
    </row>
    <row r="84" spans="23:39" x14ac:dyDescent="0.2"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482"/>
      <c r="AL84" s="482"/>
      <c r="AM84" s="482"/>
    </row>
    <row r="85" spans="23:39" x14ac:dyDescent="0.2"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</row>
    <row r="86" spans="23:39" x14ac:dyDescent="0.2"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</row>
    <row r="87" spans="23:39" x14ac:dyDescent="0.2"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</row>
  </sheetData>
  <mergeCells count="5">
    <mergeCell ref="A44:E44"/>
    <mergeCell ref="B46:E46"/>
    <mergeCell ref="H1:N1"/>
    <mergeCell ref="B24:G24"/>
    <mergeCell ref="I24:N24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5"/>
  <sheetViews>
    <sheetView zoomScaleNormal="100" workbookViewId="0">
      <selection activeCell="S8" sqref="S8"/>
    </sheetView>
  </sheetViews>
  <sheetFormatPr defaultRowHeight="12.75" x14ac:dyDescent="0.2"/>
  <cols>
    <col min="1" max="1" width="5.85546875" customWidth="1"/>
    <col min="2" max="2" width="6.85546875" customWidth="1"/>
    <col min="3" max="3" width="6.7109375" customWidth="1"/>
    <col min="4" max="4" width="6.85546875" customWidth="1"/>
    <col min="5" max="5" width="7.140625" customWidth="1"/>
    <col min="6" max="6" width="7" customWidth="1"/>
    <col min="7" max="7" width="6.7109375" customWidth="1"/>
    <col min="8" max="8" width="5.85546875" customWidth="1"/>
    <col min="9" max="14" width="6.85546875" customWidth="1"/>
    <col min="15" max="15" width="0.7109375" customWidth="1"/>
    <col min="16" max="16" width="6.85546875" customWidth="1"/>
    <col min="18" max="18" width="5.28515625" customWidth="1"/>
    <col min="19" max="19" width="11" customWidth="1"/>
    <col min="20" max="20" width="15.28515625" customWidth="1"/>
    <col min="21" max="21" width="7.140625" customWidth="1"/>
  </cols>
  <sheetData>
    <row r="1" spans="1:52" ht="19.5" x14ac:dyDescent="0.25">
      <c r="A1" s="143" t="s">
        <v>171</v>
      </c>
      <c r="B1" s="75"/>
      <c r="C1" s="44"/>
      <c r="D1" s="44"/>
      <c r="E1" s="45"/>
      <c r="F1" s="45"/>
      <c r="G1" s="44"/>
      <c r="H1" s="708" t="s">
        <v>408</v>
      </c>
      <c r="I1" s="708"/>
      <c r="J1" s="708"/>
      <c r="K1" s="708"/>
      <c r="L1" s="708"/>
      <c r="M1" s="708"/>
      <c r="N1" s="708"/>
      <c r="O1" s="44"/>
      <c r="P1" s="44"/>
      <c r="Q1" s="44"/>
      <c r="R1" s="44"/>
      <c r="S1" s="44"/>
      <c r="T1" s="44"/>
      <c r="U1" s="44"/>
      <c r="AZ1" s="623"/>
    </row>
    <row r="2" spans="1:52" ht="15" x14ac:dyDescent="0.2">
      <c r="A2" s="1"/>
      <c r="B2" s="48"/>
      <c r="C2" s="49"/>
      <c r="D2" s="49"/>
      <c r="E2" s="50"/>
      <c r="F2" s="50"/>
      <c r="G2" s="49"/>
      <c r="H2" s="49"/>
      <c r="I2" s="49"/>
      <c r="J2" s="272"/>
      <c r="K2" s="272"/>
      <c r="L2" s="272"/>
      <c r="M2" s="272"/>
      <c r="N2" s="49"/>
      <c r="O2" s="49"/>
      <c r="P2" s="49"/>
      <c r="Q2" s="49"/>
      <c r="R2" s="49"/>
      <c r="S2" s="49"/>
      <c r="U2" s="634" t="s">
        <v>416</v>
      </c>
    </row>
    <row r="3" spans="1:52" ht="13.5" thickBot="1" x14ac:dyDescent="0.25">
      <c r="A3" s="77"/>
      <c r="B3" s="77"/>
      <c r="C3" s="43"/>
      <c r="D3" s="43"/>
      <c r="E3" s="43"/>
      <c r="F3" s="43"/>
      <c r="G3" s="43"/>
      <c r="H3" s="43"/>
      <c r="I3" s="43"/>
      <c r="J3" s="273"/>
      <c r="K3" s="273"/>
      <c r="L3" s="273"/>
      <c r="M3" s="273"/>
      <c r="N3" s="43"/>
      <c r="O3" s="43"/>
      <c r="P3" s="43"/>
      <c r="Q3" s="43"/>
      <c r="R3" s="43"/>
      <c r="S3" s="43"/>
      <c r="T3" s="43"/>
      <c r="AZ3" s="1"/>
    </row>
    <row r="4" spans="1:52" ht="14.25" thickTop="1" thickBot="1" x14ac:dyDescent="0.25">
      <c r="B4" s="78" t="s">
        <v>173</v>
      </c>
      <c r="C4" s="670" t="s">
        <v>174</v>
      </c>
      <c r="D4" s="671"/>
      <c r="E4" s="671"/>
      <c r="F4" s="671"/>
      <c r="G4" s="672"/>
      <c r="H4" s="78" t="s">
        <v>173</v>
      </c>
      <c r="I4" s="614" t="s">
        <v>174</v>
      </c>
      <c r="J4" s="615"/>
      <c r="K4" s="615"/>
      <c r="L4" s="615"/>
      <c r="M4" s="615"/>
      <c r="N4" s="616"/>
      <c r="O4" s="1"/>
      <c r="P4" s="43"/>
      <c r="Q4" s="43"/>
      <c r="R4" s="43"/>
      <c r="S4" s="43"/>
      <c r="T4" s="43"/>
      <c r="AZ4" s="1"/>
    </row>
    <row r="5" spans="1:52" ht="14.25" thickTop="1" thickBot="1" x14ac:dyDescent="0.25">
      <c r="B5" s="78">
        <v>11</v>
      </c>
      <c r="C5" s="298">
        <v>300</v>
      </c>
      <c r="D5" s="303">
        <v>400</v>
      </c>
      <c r="E5" s="304">
        <v>500</v>
      </c>
      <c r="F5" s="304">
        <v>600</v>
      </c>
      <c r="G5" s="301">
        <v>900</v>
      </c>
      <c r="H5" s="78" t="s">
        <v>2</v>
      </c>
      <c r="I5" s="300">
        <v>200</v>
      </c>
      <c r="J5" s="299">
        <v>300</v>
      </c>
      <c r="K5" s="299">
        <v>400</v>
      </c>
      <c r="L5" s="302">
        <v>500</v>
      </c>
      <c r="M5" s="302">
        <v>600</v>
      </c>
      <c r="N5" s="301">
        <v>900</v>
      </c>
      <c r="O5" s="1"/>
      <c r="P5" s="43"/>
      <c r="Q5" s="43"/>
      <c r="R5" s="43"/>
      <c r="S5" s="43"/>
      <c r="T5" s="43"/>
      <c r="AZ5" s="1"/>
    </row>
    <row r="6" spans="1:52" ht="15.75" thickTop="1" x14ac:dyDescent="0.25">
      <c r="B6" s="83">
        <v>400</v>
      </c>
      <c r="C6" s="306">
        <f>101.44*(CONSTRCV)</f>
        <v>101.44</v>
      </c>
      <c r="D6" s="307">
        <f>106.38*(CONSTRCV)</f>
        <v>106.38</v>
      </c>
      <c r="E6" s="307">
        <f>107.64*(CONSTRCV)</f>
        <v>107.64</v>
      </c>
      <c r="F6" s="307">
        <f>119.63*(CONSTRCV)</f>
        <v>119.63</v>
      </c>
      <c r="G6" s="313">
        <f>130.89*(CONSTRCV)</f>
        <v>130.88999999999999</v>
      </c>
      <c r="H6" s="83">
        <v>400</v>
      </c>
      <c r="I6" s="312"/>
      <c r="J6" s="319">
        <f>118.3*(CONSTRCV)</f>
        <v>118.3</v>
      </c>
      <c r="K6" s="307">
        <f>127.44*(CONSTRCV)</f>
        <v>127.44</v>
      </c>
      <c r="L6" s="307">
        <f>143.24*(CONSTRCV)</f>
        <v>143.24</v>
      </c>
      <c r="M6" s="307">
        <f>150.78*(CONSTRCV)</f>
        <v>150.78</v>
      </c>
      <c r="N6" s="313">
        <f>197.14*(CONSTRCV)</f>
        <v>197.14</v>
      </c>
      <c r="O6" s="1"/>
      <c r="R6" s="43"/>
      <c r="S6" s="43"/>
      <c r="T6" s="43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Z6" s="1"/>
    </row>
    <row r="7" spans="1:52" ht="15" x14ac:dyDescent="0.25">
      <c r="B7" s="84">
        <v>500</v>
      </c>
      <c r="C7" s="308">
        <f>105.15*(CONSTRCV)</f>
        <v>105.15</v>
      </c>
      <c r="D7" s="309">
        <f>110.48*(CONSTRCV)</f>
        <v>110.48</v>
      </c>
      <c r="E7" s="309">
        <f>113.56*(CONSTRCV)</f>
        <v>113.56</v>
      </c>
      <c r="F7" s="309">
        <f>121.76*(CONSTRCV)</f>
        <v>121.76</v>
      </c>
      <c r="G7" s="314">
        <f>140.78*(CONSTRCV)</f>
        <v>140.78</v>
      </c>
      <c r="H7" s="84">
        <v>500</v>
      </c>
      <c r="I7" s="251"/>
      <c r="J7" s="320">
        <f>130.56*(CONSTRCV)</f>
        <v>130.56</v>
      </c>
      <c r="K7" s="309">
        <f>138.85*(CONSTRCV)</f>
        <v>138.85</v>
      </c>
      <c r="L7" s="309">
        <f>156.8*(CONSTRCV)</f>
        <v>156.80000000000001</v>
      </c>
      <c r="M7" s="309">
        <f>165.08*(CONSTRCV)</f>
        <v>165.08</v>
      </c>
      <c r="N7" s="314">
        <f>216.28*(CONSTRCV)</f>
        <v>216.28</v>
      </c>
      <c r="R7" s="43"/>
      <c r="S7" s="43"/>
      <c r="T7" s="43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Z7" s="1"/>
    </row>
    <row r="8" spans="1:52" ht="15" x14ac:dyDescent="0.25">
      <c r="B8" s="84">
        <v>600</v>
      </c>
      <c r="C8" s="308">
        <f>109.22*(CONSTRCV)</f>
        <v>109.22</v>
      </c>
      <c r="D8" s="309">
        <f>115.79*(CONSTRCV)</f>
        <v>115.79</v>
      </c>
      <c r="E8" s="309">
        <f>119.88*(CONSTRCV)</f>
        <v>119.88</v>
      </c>
      <c r="F8" s="309">
        <f>128.32*(CONSTRCV)</f>
        <v>128.32</v>
      </c>
      <c r="G8" s="314">
        <f>151.54*(CONSTRCV)</f>
        <v>151.54</v>
      </c>
      <c r="H8" s="84">
        <v>600</v>
      </c>
      <c r="I8" s="321">
        <f>123.02*(CONSTRCV)</f>
        <v>123.02</v>
      </c>
      <c r="J8" s="309">
        <f>140.78*(CONSTRCV)</f>
        <v>140.78</v>
      </c>
      <c r="K8" s="309">
        <f>149.72*(CONSTRCV)</f>
        <v>149.72</v>
      </c>
      <c r="L8" s="309">
        <f>170.14*(CONSTRCV)</f>
        <v>170.14</v>
      </c>
      <c r="M8" s="309">
        <f>179.72*(CONSTRCV)</f>
        <v>179.72</v>
      </c>
      <c r="N8" s="314">
        <f>236.07*(CONSTRCV)</f>
        <v>236.07</v>
      </c>
      <c r="O8" s="43"/>
      <c r="P8" s="43"/>
      <c r="R8" s="85" t="s">
        <v>172</v>
      </c>
      <c r="S8" s="652">
        <v>0</v>
      </c>
      <c r="T8" s="1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Z8" s="1"/>
    </row>
    <row r="9" spans="1:52" ht="15.75" thickBot="1" x14ac:dyDescent="0.3">
      <c r="B9" s="84">
        <v>700</v>
      </c>
      <c r="C9" s="308">
        <f>112.33*(CONSTRCV)</f>
        <v>112.33</v>
      </c>
      <c r="D9" s="309">
        <f>120.63*(CONSTRCV)</f>
        <v>120.63</v>
      </c>
      <c r="E9" s="309">
        <f>127.31*(CONSTRCV)</f>
        <v>127.31</v>
      </c>
      <c r="F9" s="309">
        <f>134.97*(CONSTRCV)</f>
        <v>134.97</v>
      </c>
      <c r="G9" s="314">
        <f>161.2*(CONSTRCV)</f>
        <v>161.19999999999999</v>
      </c>
      <c r="H9" s="84">
        <v>700</v>
      </c>
      <c r="I9" s="308">
        <f>132.11*(CONSTRCV)</f>
        <v>132.11000000000001</v>
      </c>
      <c r="J9" s="309">
        <f>150.57*(CONSTRCV)</f>
        <v>150.57</v>
      </c>
      <c r="K9" s="309">
        <f>161.42*(CONSTRCV)</f>
        <v>161.41999999999999</v>
      </c>
      <c r="L9" s="309">
        <f>183.91*(CONSTRCV)</f>
        <v>183.91</v>
      </c>
      <c r="M9" s="309">
        <f>194.55*(CONSTRCV)</f>
        <v>194.55</v>
      </c>
      <c r="N9" s="314">
        <f>261.77*(CONSTRCV)</f>
        <v>261.77</v>
      </c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</row>
    <row r="10" spans="1:52" ht="16.5" thickTop="1" thickBot="1" x14ac:dyDescent="0.3">
      <c r="B10" s="84">
        <v>800</v>
      </c>
      <c r="C10" s="308">
        <f>115.79*(CONSTRCV)</f>
        <v>115.79</v>
      </c>
      <c r="D10" s="309">
        <f>124.32*(CONSTRCV)</f>
        <v>124.32</v>
      </c>
      <c r="E10" s="309">
        <f>132.37*(CONSTRCV)</f>
        <v>132.37</v>
      </c>
      <c r="F10" s="309">
        <f>141.4*(CONSTRCV)</f>
        <v>141.4</v>
      </c>
      <c r="G10" s="314">
        <f>170.77*(CONSTRCV)</f>
        <v>170.77</v>
      </c>
      <c r="H10" s="84">
        <v>800</v>
      </c>
      <c r="I10" s="308">
        <f>141.53*(CONSTRCV)</f>
        <v>141.53</v>
      </c>
      <c r="J10" s="309">
        <f>160.48*(CONSTRCV)</f>
        <v>160.47999999999999</v>
      </c>
      <c r="K10" s="309">
        <f>172.61*(CONSTRCV)</f>
        <v>172.61</v>
      </c>
      <c r="L10" s="309">
        <f>197.68*(CONSTRCV)</f>
        <v>197.68</v>
      </c>
      <c r="M10" s="309">
        <f>209.71*(CONSTRCV)</f>
        <v>209.71</v>
      </c>
      <c r="N10" s="314">
        <f>287.26*(CONSTRCV)</f>
        <v>287.26</v>
      </c>
      <c r="P10" s="392" t="s">
        <v>175</v>
      </c>
      <c r="Q10" s="146"/>
      <c r="R10" s="615"/>
      <c r="S10" s="87"/>
      <c r="T10" s="87"/>
      <c r="U10" s="88" t="s">
        <v>170</v>
      </c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</row>
    <row r="11" spans="1:52" ht="15.75" thickTop="1" x14ac:dyDescent="0.25">
      <c r="B11" s="84">
        <v>900</v>
      </c>
      <c r="C11" s="308">
        <f>120.74*(CONSTRCV)</f>
        <v>120.74</v>
      </c>
      <c r="D11" s="309">
        <f>130.51*(CONSTRCV)</f>
        <v>130.51</v>
      </c>
      <c r="E11" s="309">
        <f>139.3*(CONSTRCV)</f>
        <v>139.30000000000001</v>
      </c>
      <c r="F11" s="309">
        <f>148.21*(CONSTRCV)</f>
        <v>148.21</v>
      </c>
      <c r="G11" s="314">
        <f>180.04*(CONSTRCV)</f>
        <v>180.04</v>
      </c>
      <c r="H11" s="84">
        <v>900</v>
      </c>
      <c r="I11" s="308">
        <f>150.13*(CONSTRCV)</f>
        <v>150.13</v>
      </c>
      <c r="J11" s="309">
        <f>169.71*(CONSTRCV)</f>
        <v>169.71</v>
      </c>
      <c r="K11" s="309">
        <f>183.58*(CONSTRCV)</f>
        <v>183.58</v>
      </c>
      <c r="L11" s="309">
        <f>211.44*(CONSTRCV)</f>
        <v>211.44</v>
      </c>
      <c r="M11" s="309">
        <f>224.87*(CONSTRCV)</f>
        <v>224.87</v>
      </c>
      <c r="N11" s="314">
        <f>312.53*(CONSTRCV)</f>
        <v>312.52999999999997</v>
      </c>
      <c r="P11" s="89" t="s">
        <v>193</v>
      </c>
      <c r="Q11" s="144"/>
      <c r="R11" s="90"/>
      <c r="S11" s="90"/>
      <c r="T11" s="90"/>
      <c r="U11" s="295">
        <f>9.14*(CONSTRCV)</f>
        <v>9.14</v>
      </c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</row>
    <row r="12" spans="1:52" ht="15" x14ac:dyDescent="0.25">
      <c r="B12" s="84">
        <v>1000</v>
      </c>
      <c r="C12" s="308">
        <f>124.32*(CONSTRCV)</f>
        <v>124.32</v>
      </c>
      <c r="D12" s="309">
        <f>134.96*(CONSTRCV)</f>
        <v>134.96</v>
      </c>
      <c r="E12" s="309">
        <f>147.08*(CONSTRCV)</f>
        <v>147.08000000000001</v>
      </c>
      <c r="F12" s="309">
        <f>155.09*(CONSTRCV)</f>
        <v>155.09</v>
      </c>
      <c r="G12" s="314">
        <f>192.5*(CONSTRCV)</f>
        <v>192.5</v>
      </c>
      <c r="H12" s="84">
        <v>1000</v>
      </c>
      <c r="I12" s="308">
        <f>158.73*(CONSTRCV)</f>
        <v>158.72999999999999</v>
      </c>
      <c r="J12" s="309">
        <f>178.73*(CONSTRCV)</f>
        <v>178.73</v>
      </c>
      <c r="K12" s="309">
        <f>194.45*(CONSTRCV)</f>
        <v>194.45</v>
      </c>
      <c r="L12" s="309">
        <f>224.98*(CONSTRCV)</f>
        <v>224.98</v>
      </c>
      <c r="M12" s="309">
        <f>240.04*(CONSTRCV)</f>
        <v>240.04</v>
      </c>
      <c r="N12" s="314">
        <f>337.81*(CONSTRCV)</f>
        <v>337.81</v>
      </c>
      <c r="P12" s="89" t="s">
        <v>194</v>
      </c>
      <c r="Q12" s="145"/>
      <c r="R12" s="90"/>
      <c r="S12" s="90"/>
      <c r="T12" s="90"/>
      <c r="U12" s="296">
        <f>4.37*(CONSTRCV)</f>
        <v>4.37</v>
      </c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</row>
    <row r="13" spans="1:52" ht="15" x14ac:dyDescent="0.25">
      <c r="B13" s="84">
        <v>1100</v>
      </c>
      <c r="C13" s="308">
        <f>131.52*(CONSTRCV)</f>
        <v>131.52000000000001</v>
      </c>
      <c r="D13" s="309">
        <f>143.01*(CONSTRCV)</f>
        <v>143.01</v>
      </c>
      <c r="E13" s="309">
        <f>154.63*(CONSTRCV)</f>
        <v>154.63</v>
      </c>
      <c r="F13" s="309">
        <f>163.16*(CONSTRCV)</f>
        <v>163.16</v>
      </c>
      <c r="G13" s="314">
        <f>205.09*(CONSTRCV)</f>
        <v>205.09</v>
      </c>
      <c r="H13" s="84">
        <v>1100</v>
      </c>
      <c r="I13" s="308">
        <f>167.36*(CONSTRCV)</f>
        <v>167.36</v>
      </c>
      <c r="J13" s="309">
        <f>187.77*(CONSTRCV)</f>
        <v>187.77</v>
      </c>
      <c r="K13" s="309">
        <f>206.48*(CONSTRCV)</f>
        <v>206.48</v>
      </c>
      <c r="L13" s="309">
        <f>238.55*(CONSTRCV)</f>
        <v>238.55</v>
      </c>
      <c r="M13" s="309">
        <f>255.2*(CONSTRCV)</f>
        <v>255.2</v>
      </c>
      <c r="N13" s="314">
        <f>363.82*(CONSTRCV)</f>
        <v>363.82</v>
      </c>
      <c r="P13" s="92" t="s">
        <v>195</v>
      </c>
      <c r="Q13" s="145"/>
      <c r="R13" s="141"/>
      <c r="S13" s="90"/>
      <c r="T13" s="90"/>
      <c r="U13" s="296">
        <f>30.33*(CONSTRCV)</f>
        <v>30.33</v>
      </c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</row>
    <row r="14" spans="1:52" ht="15" x14ac:dyDescent="0.25">
      <c r="B14" s="84">
        <v>1200</v>
      </c>
      <c r="C14" s="308">
        <f>136.45*(CONSTRCV)</f>
        <v>136.44999999999999</v>
      </c>
      <c r="D14" s="309">
        <f>149.05*(CONSTRCV)</f>
        <v>149.05000000000001</v>
      </c>
      <c r="E14" s="309">
        <f>161.93*(CONSTRCV)</f>
        <v>161.93</v>
      </c>
      <c r="F14" s="309">
        <f>171.44*(CONSTRCV)</f>
        <v>171.44</v>
      </c>
      <c r="G14" s="314">
        <f>217.56*(CONSTRCV)</f>
        <v>217.56</v>
      </c>
      <c r="H14" s="84">
        <v>1200</v>
      </c>
      <c r="I14" s="308">
        <f>175.62*(CONSTRCV)</f>
        <v>175.62</v>
      </c>
      <c r="J14" s="309">
        <f>196.69*(CONSTRCV)</f>
        <v>196.69</v>
      </c>
      <c r="K14" s="309">
        <f>217.36*(CONSTRCV)</f>
        <v>217.36</v>
      </c>
      <c r="L14" s="309">
        <f>252.2*(CONSTRCV)</f>
        <v>252.2</v>
      </c>
      <c r="M14" s="309">
        <f>269.94*(CONSTRCV)</f>
        <v>269.94</v>
      </c>
      <c r="N14" s="314">
        <f>388.56*(CONSTRCV)</f>
        <v>388.56</v>
      </c>
      <c r="P14" s="93" t="s">
        <v>196</v>
      </c>
      <c r="Q14" s="145"/>
      <c r="R14" s="142"/>
      <c r="S14" s="90"/>
      <c r="T14" s="90"/>
      <c r="U14" s="296">
        <f>22.08*(CONSTRCV)</f>
        <v>22.08</v>
      </c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</row>
    <row r="15" spans="1:52" ht="15" x14ac:dyDescent="0.25">
      <c r="B15" s="84">
        <v>1400</v>
      </c>
      <c r="C15" s="308">
        <f>155.99*(CONSTRCV)</f>
        <v>155.99</v>
      </c>
      <c r="D15" s="309">
        <f>170.72*(CONSTRCV)</f>
        <v>170.72</v>
      </c>
      <c r="E15" s="309">
        <f>177.5*(CONSTRCV)</f>
        <v>177.5</v>
      </c>
      <c r="F15" s="309">
        <f>188.11*(CONSTRCV)</f>
        <v>188.11</v>
      </c>
      <c r="G15" s="314">
        <f>243.81*(CONSTRCV)</f>
        <v>243.81</v>
      </c>
      <c r="H15" s="84">
        <v>1400</v>
      </c>
      <c r="I15" s="308">
        <f>192.72*(CONSTRCV)</f>
        <v>192.72</v>
      </c>
      <c r="J15" s="309">
        <f>214.77*(CONSTRCV)</f>
        <v>214.77</v>
      </c>
      <c r="K15" s="309">
        <f>239.51*(CONSTRCV)</f>
        <v>239.51</v>
      </c>
      <c r="L15" s="309">
        <f>279.08*(CONSTRCV)</f>
        <v>279.08</v>
      </c>
      <c r="M15" s="309">
        <f>300.17*(CONSTRCV)</f>
        <v>300.17</v>
      </c>
      <c r="N15" s="314">
        <f>438.69*(CONSTRCV)</f>
        <v>438.69</v>
      </c>
      <c r="P15" s="93" t="s">
        <v>197</v>
      </c>
      <c r="Q15" s="145"/>
      <c r="R15" s="142"/>
      <c r="S15" s="90"/>
      <c r="T15" s="90"/>
      <c r="U15" s="296">
        <f>1.86*(CONSTRCV)</f>
        <v>1.86</v>
      </c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</row>
    <row r="16" spans="1:52" ht="15" x14ac:dyDescent="0.25">
      <c r="B16" s="84">
        <v>1600</v>
      </c>
      <c r="C16" s="308">
        <f>165.52*(CONSTRCV)</f>
        <v>165.52</v>
      </c>
      <c r="D16" s="309">
        <f>182.22*(CONSTRCV)</f>
        <v>182.22</v>
      </c>
      <c r="E16" s="309">
        <f>193.11*(CONSTRCV)</f>
        <v>193.11</v>
      </c>
      <c r="F16" s="309">
        <f>209.71*(CONSTRCV)</f>
        <v>209.71</v>
      </c>
      <c r="G16" s="314">
        <f>269.19*(CONSTRCV)</f>
        <v>269.19</v>
      </c>
      <c r="H16" s="84">
        <v>1600</v>
      </c>
      <c r="I16" s="308">
        <f>210.15*(CONSTRCV)</f>
        <v>210.15</v>
      </c>
      <c r="J16" s="309">
        <f>233.26*(CONSTRCV)</f>
        <v>233.26</v>
      </c>
      <c r="K16" s="309">
        <f>261.77*(CONSTRCV)</f>
        <v>261.77</v>
      </c>
      <c r="L16" s="309">
        <f>307.05*(CONSTRCV)</f>
        <v>307.05</v>
      </c>
      <c r="M16" s="309">
        <f>330.38*(CONSTRCV)</f>
        <v>330.38</v>
      </c>
      <c r="N16" s="314">
        <f>489.34*(CONSTRCV)</f>
        <v>489.34</v>
      </c>
      <c r="P16" s="93" t="s">
        <v>198</v>
      </c>
      <c r="Q16" s="145"/>
      <c r="R16" s="142"/>
      <c r="S16" s="90"/>
      <c r="T16" s="90"/>
      <c r="U16" s="296">
        <f>8.25*(CONSTRCV)</f>
        <v>8.25</v>
      </c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</row>
    <row r="17" spans="1:43" ht="15" x14ac:dyDescent="0.25">
      <c r="B17" s="84">
        <v>1800</v>
      </c>
      <c r="C17" s="308">
        <f>180.99*(CONSTRCV)</f>
        <v>180.99</v>
      </c>
      <c r="D17" s="309">
        <f>199.17*(CONSTRCV)</f>
        <v>199.17</v>
      </c>
      <c r="E17" s="309">
        <f>208.45*(CONSTRCV)</f>
        <v>208.45</v>
      </c>
      <c r="F17" s="309">
        <f>230.79*(CONSTRCV)</f>
        <v>230.79</v>
      </c>
      <c r="G17" s="314">
        <f>295.85*(CONSTRCV)</f>
        <v>295.85000000000002</v>
      </c>
      <c r="H17" s="84">
        <v>1800</v>
      </c>
      <c r="I17" s="308">
        <f>228.43*(CONSTRCV)</f>
        <v>228.43</v>
      </c>
      <c r="J17" s="309">
        <f>252.73*(CONSTRCV)</f>
        <v>252.73</v>
      </c>
      <c r="K17" s="309">
        <f>284.67*(CONSTRCV)</f>
        <v>284.67</v>
      </c>
      <c r="L17" s="309">
        <f>333.29*(CONSTRCV)</f>
        <v>333.29</v>
      </c>
      <c r="M17" s="309">
        <f>360.49*(CONSTRCV)</f>
        <v>360.49</v>
      </c>
      <c r="N17" s="314">
        <f>539.66*(CONSTRCV)</f>
        <v>539.66</v>
      </c>
      <c r="P17" s="166" t="s">
        <v>199</v>
      </c>
      <c r="Q17" s="167"/>
      <c r="R17" s="168"/>
      <c r="S17" s="169"/>
      <c r="T17" s="169"/>
      <c r="U17" s="296">
        <f>9.14*(CONSTRCV)</f>
        <v>9.14</v>
      </c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</row>
    <row r="18" spans="1:43" ht="15" x14ac:dyDescent="0.25">
      <c r="B18" s="84">
        <v>2000</v>
      </c>
      <c r="C18" s="308">
        <f>190.39*(CONSTRCV)</f>
        <v>190.39</v>
      </c>
      <c r="D18" s="309">
        <f>210.29*(CONSTRCV)</f>
        <v>210.29</v>
      </c>
      <c r="E18" s="309">
        <f>224.78*(CONSTRCV)</f>
        <v>224.78</v>
      </c>
      <c r="F18" s="309">
        <f>246.07*(CONSTRCV)</f>
        <v>246.07</v>
      </c>
      <c r="G18" s="314">
        <f>321.24*(CONSTRCV)</f>
        <v>321.24</v>
      </c>
      <c r="H18" s="84">
        <v>2000</v>
      </c>
      <c r="I18" s="308">
        <f>244.88*(CONSTRCV)</f>
        <v>244.88</v>
      </c>
      <c r="J18" s="309">
        <f>270.05*(CONSTRCV)</f>
        <v>270.05</v>
      </c>
      <c r="K18" s="309">
        <f>306.52*(CONSTRCV)</f>
        <v>306.52</v>
      </c>
      <c r="L18" s="309">
        <f>361.15*(CONSTRCV)</f>
        <v>361.15</v>
      </c>
      <c r="M18" s="309">
        <f>390.5*(CONSTRCV)</f>
        <v>390.5</v>
      </c>
      <c r="N18" s="314">
        <f>591.5*(CONSTRCV)</f>
        <v>591.5</v>
      </c>
      <c r="P18" s="397" t="s">
        <v>200</v>
      </c>
      <c r="Q18" s="145"/>
      <c r="R18" s="145"/>
      <c r="S18" s="145"/>
      <c r="T18" s="145"/>
      <c r="U18" s="296">
        <f>15.44*(CONSTRCV)</f>
        <v>15.44</v>
      </c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</row>
    <row r="19" spans="1:43" ht="15" x14ac:dyDescent="0.25">
      <c r="B19" s="84">
        <v>2300</v>
      </c>
      <c r="C19" s="308">
        <f>207.59*(CONSTRCV)</f>
        <v>207.59</v>
      </c>
      <c r="D19" s="309">
        <f>230.7*(CONSTRCV)</f>
        <v>230.7</v>
      </c>
      <c r="E19" s="309">
        <f>247.9*(CONSTRCV)</f>
        <v>247.9</v>
      </c>
      <c r="F19" s="309">
        <f>271.88*(CONSTRCV)</f>
        <v>271.88</v>
      </c>
      <c r="G19" s="314">
        <f>352.86*(CONSTRCV)</f>
        <v>352.86</v>
      </c>
      <c r="H19" s="84">
        <v>2300</v>
      </c>
      <c r="I19" s="308">
        <f>271.12*(CONSTRCV)</f>
        <v>271.12</v>
      </c>
      <c r="J19" s="309">
        <f>298.01*(CONSTRCV)</f>
        <v>298.01</v>
      </c>
      <c r="K19" s="309">
        <f>340.39*(CONSTRCV)</f>
        <v>340.39</v>
      </c>
      <c r="L19" s="309">
        <f>398.99*(CONSTRCV)</f>
        <v>398.99</v>
      </c>
      <c r="M19" s="309">
        <f>436.2*(CONSTRCV)</f>
        <v>436.2</v>
      </c>
      <c r="N19" s="314">
        <f>661.82*(CONSTRCV)</f>
        <v>661.82</v>
      </c>
      <c r="P19" s="397" t="s">
        <v>394</v>
      </c>
      <c r="Q19" s="145"/>
      <c r="R19" s="145"/>
      <c r="S19" s="145"/>
      <c r="T19" s="145"/>
      <c r="U19" s="563">
        <f>2.26*(CONSTRCV)</f>
        <v>2.2599999999999998</v>
      </c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</row>
    <row r="20" spans="1:43" ht="15" x14ac:dyDescent="0.25">
      <c r="B20" s="84">
        <v>2600</v>
      </c>
      <c r="C20" s="308">
        <f>222.3*(CONSTRCV)</f>
        <v>222.3</v>
      </c>
      <c r="D20" s="309">
        <f>251.24*(CONSTRCV)</f>
        <v>251.24</v>
      </c>
      <c r="E20" s="309">
        <f>271.41*(CONSTRCV)</f>
        <v>271.41000000000003</v>
      </c>
      <c r="F20" s="309">
        <f>302.74*(CONSTRCV)</f>
        <v>302.74</v>
      </c>
      <c r="G20" s="314">
        <f>387.49*(CONSTRCV)</f>
        <v>387.49</v>
      </c>
      <c r="H20" s="84">
        <v>2600</v>
      </c>
      <c r="I20" s="308">
        <f>301.56*(CONSTRCV)</f>
        <v>301.56</v>
      </c>
      <c r="J20" s="309">
        <f>330.16*(CONSTRCV)</f>
        <v>330.16</v>
      </c>
      <c r="K20" s="309">
        <f>374.04*(CONSTRCV)</f>
        <v>374.04</v>
      </c>
      <c r="L20" s="309">
        <f>442.56*(CONSTRCV)</f>
        <v>442.56</v>
      </c>
      <c r="M20" s="309">
        <f>480.94*(CONSTRCV)</f>
        <v>480.94</v>
      </c>
      <c r="N20" s="314">
        <f>731.09*(CONSTRCV)</f>
        <v>731.09</v>
      </c>
      <c r="P20" s="562" t="s">
        <v>201</v>
      </c>
      <c r="Q20" s="145"/>
      <c r="R20" s="145"/>
      <c r="S20" s="145"/>
      <c r="T20" s="145"/>
      <c r="U20" s="296">
        <f>35.59*(CONSTRCV)</f>
        <v>35.590000000000003</v>
      </c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</row>
    <row r="21" spans="1:43" ht="15.75" thickBot="1" x14ac:dyDescent="0.3">
      <c r="B21" s="86">
        <v>3000</v>
      </c>
      <c r="C21" s="310">
        <f>249.52*(CONSTRCV)</f>
        <v>249.52</v>
      </c>
      <c r="D21" s="311">
        <f>279.55*(CONSTRCV)</f>
        <v>279.55</v>
      </c>
      <c r="E21" s="311">
        <f>302.94*(CONSTRCV)</f>
        <v>302.94</v>
      </c>
      <c r="F21" s="311">
        <f>333.61*(CONSTRCV)</f>
        <v>333.61</v>
      </c>
      <c r="G21" s="315">
        <f>434.06*(CONSTRCV)</f>
        <v>434.06</v>
      </c>
      <c r="H21" s="86">
        <v>3000</v>
      </c>
      <c r="I21" s="310">
        <f>331.79*(CONSTRCV)</f>
        <v>331.79</v>
      </c>
      <c r="J21" s="311">
        <f>362.33*(CONSTRCV)</f>
        <v>362.33</v>
      </c>
      <c r="K21" s="311">
        <f>419*(CONSTRCV)</f>
        <v>419</v>
      </c>
      <c r="L21" s="311">
        <f>496.97*(CONSTRCV)</f>
        <v>496.97</v>
      </c>
      <c r="M21" s="311">
        <f>541.06*(CONSTRCV)</f>
        <v>541.05999999999995</v>
      </c>
      <c r="N21" s="315">
        <f>824.02*(CONSTRCV)</f>
        <v>824.02</v>
      </c>
      <c r="O21" s="150"/>
      <c r="P21" s="172" t="s">
        <v>202</v>
      </c>
      <c r="Q21" s="147"/>
      <c r="R21" s="173"/>
      <c r="S21" s="174"/>
      <c r="T21" s="174"/>
      <c r="U21" s="561">
        <f>5.42*(CONSTRCV)</f>
        <v>5.42</v>
      </c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</row>
    <row r="22" spans="1:43" ht="14.25" thickTop="1" thickBot="1" x14ac:dyDescent="0.25">
      <c r="A22" s="628">
        <f>(1-S8)</f>
        <v>1</v>
      </c>
      <c r="B22" s="148"/>
      <c r="C22" s="149"/>
      <c r="D22" s="149"/>
      <c r="E22" s="149"/>
      <c r="F22" s="149"/>
      <c r="G22" s="149"/>
      <c r="H22" s="1"/>
      <c r="I22" s="148"/>
      <c r="J22" s="266"/>
      <c r="K22" s="266"/>
      <c r="L22" s="266"/>
      <c r="M22" s="266"/>
      <c r="N22" s="149"/>
      <c r="O22" s="1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</row>
    <row r="23" spans="1:43" ht="14.25" thickTop="1" thickBot="1" x14ac:dyDescent="0.25">
      <c r="A23" s="4">
        <f>(1-S8)</f>
        <v>1</v>
      </c>
      <c r="B23" s="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396" t="s">
        <v>173</v>
      </c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</row>
    <row r="24" spans="1:43" ht="14.25" thickTop="1" thickBot="1" x14ac:dyDescent="0.25">
      <c r="A24" s="78" t="s">
        <v>173</v>
      </c>
      <c r="B24" s="705" t="s">
        <v>174</v>
      </c>
      <c r="C24" s="706"/>
      <c r="D24" s="706"/>
      <c r="E24" s="706"/>
      <c r="F24" s="706"/>
      <c r="G24" s="707"/>
      <c r="H24" s="78" t="s">
        <v>173</v>
      </c>
      <c r="I24" s="705" t="s">
        <v>174</v>
      </c>
      <c r="J24" s="706"/>
      <c r="K24" s="706"/>
      <c r="L24" s="706"/>
      <c r="M24" s="706"/>
      <c r="N24" s="707"/>
      <c r="O24" s="160"/>
      <c r="P24" s="154">
        <v>44</v>
      </c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</row>
    <row r="25" spans="1:43" ht="14.25" thickTop="1" thickBot="1" x14ac:dyDescent="0.25">
      <c r="A25" s="78">
        <v>22</v>
      </c>
      <c r="B25" s="300">
        <v>200</v>
      </c>
      <c r="C25" s="303">
        <v>300</v>
      </c>
      <c r="D25" s="303">
        <v>400</v>
      </c>
      <c r="E25" s="304">
        <v>500</v>
      </c>
      <c r="F25" s="304">
        <v>600</v>
      </c>
      <c r="G25" s="301">
        <v>900</v>
      </c>
      <c r="H25" s="78">
        <v>33</v>
      </c>
      <c r="I25" s="300">
        <v>200</v>
      </c>
      <c r="J25" s="299">
        <v>300</v>
      </c>
      <c r="K25" s="299">
        <v>400</v>
      </c>
      <c r="L25" s="302">
        <v>500</v>
      </c>
      <c r="M25" s="302">
        <v>600</v>
      </c>
      <c r="N25" s="301">
        <v>900</v>
      </c>
      <c r="O25" s="161"/>
      <c r="P25" s="305">
        <v>200</v>
      </c>
      <c r="R25" s="40" t="s">
        <v>184</v>
      </c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</row>
    <row r="26" spans="1:43" ht="15.75" thickTop="1" x14ac:dyDescent="0.25">
      <c r="A26" s="83">
        <v>400</v>
      </c>
      <c r="B26" s="312"/>
      <c r="C26" s="319">
        <f>124*(CONSTRCV)</f>
        <v>124</v>
      </c>
      <c r="D26" s="307">
        <f>133.9*(CONSTRCV)</f>
        <v>133.9</v>
      </c>
      <c r="E26" s="307">
        <f>150.44*(CONSTRCV)</f>
        <v>150.44</v>
      </c>
      <c r="F26" s="307">
        <f>158.84*(CONSTRCV)</f>
        <v>158.84</v>
      </c>
      <c r="G26" s="313">
        <f>208*(CONSTRCV)</f>
        <v>208</v>
      </c>
      <c r="H26" s="83">
        <v>400</v>
      </c>
      <c r="I26" s="312"/>
      <c r="J26" s="307">
        <f>212.41*(CONSTRCV)</f>
        <v>212.41</v>
      </c>
      <c r="K26" s="307">
        <f>221.11*(CONSTRCV)</f>
        <v>221.11</v>
      </c>
      <c r="L26" s="307">
        <f>248.09*(CONSTRCV)</f>
        <v>248.09</v>
      </c>
      <c r="M26" s="307">
        <f>261.33*(CONSTRCV)</f>
        <v>261.33</v>
      </c>
      <c r="N26" s="313">
        <f>271.77*(CONSTRCV)</f>
        <v>271.77</v>
      </c>
      <c r="O26" s="155"/>
      <c r="P26" s="318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</row>
    <row r="27" spans="1:43" ht="15" x14ac:dyDescent="0.25">
      <c r="A27" s="84">
        <v>500</v>
      </c>
      <c r="B27" s="251"/>
      <c r="C27" s="320">
        <f>136.92*(CONSTRCV)</f>
        <v>136.91999999999999</v>
      </c>
      <c r="D27" s="309">
        <f>145.73*(CONSTRCV)</f>
        <v>145.72999999999999</v>
      </c>
      <c r="E27" s="309">
        <f>164.88*(CONSTRCV)</f>
        <v>164.88</v>
      </c>
      <c r="F27" s="309">
        <f>173.68*(CONSTRCV)</f>
        <v>173.68</v>
      </c>
      <c r="G27" s="314">
        <f>228.98*(CONSTRCV)</f>
        <v>228.98</v>
      </c>
      <c r="H27" s="84">
        <v>500</v>
      </c>
      <c r="I27" s="251"/>
      <c r="J27" s="309">
        <f>223.69*(CONSTRCV)</f>
        <v>223.69</v>
      </c>
      <c r="K27" s="309">
        <f>234.02*(CONSTRCV)</f>
        <v>234.02</v>
      </c>
      <c r="L27" s="309">
        <f>264.47*(CONSTRCV)</f>
        <v>264.47000000000003</v>
      </c>
      <c r="M27" s="309">
        <f>278.45*(CONSTRCV)</f>
        <v>278.45</v>
      </c>
      <c r="N27" s="314">
        <f>302.1*(CONSTRCV)</f>
        <v>302.10000000000002</v>
      </c>
      <c r="O27" s="158"/>
      <c r="P27" s="252"/>
      <c r="R27" s="624"/>
      <c r="S27" s="393" t="s">
        <v>185</v>
      </c>
      <c r="T27" s="273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</row>
    <row r="28" spans="1:43" ht="15" x14ac:dyDescent="0.25">
      <c r="A28" s="84">
        <v>600</v>
      </c>
      <c r="B28" s="321">
        <f>130.36*(CONSTRCV)</f>
        <v>130.36000000000001</v>
      </c>
      <c r="C28" s="309">
        <f>148.52*(CONSTRCV)</f>
        <v>148.52000000000001</v>
      </c>
      <c r="D28" s="309">
        <f>157.87*(CONSTRCV)</f>
        <v>157.87</v>
      </c>
      <c r="E28" s="309">
        <f>179.18*(CONSTRCV)</f>
        <v>179.18</v>
      </c>
      <c r="F28" s="309">
        <f>189.49*(CONSTRCV)</f>
        <v>189.49</v>
      </c>
      <c r="G28" s="314">
        <f>249.83*(CONSTRCV)</f>
        <v>249.83</v>
      </c>
      <c r="H28" s="84">
        <v>600</v>
      </c>
      <c r="I28" s="308">
        <f>212.29*(CONSTRCV)</f>
        <v>212.29</v>
      </c>
      <c r="J28" s="309">
        <f>235.54*(CONSTRCV)</f>
        <v>235.54</v>
      </c>
      <c r="K28" s="309">
        <f>248.09*(CONSTRCV)</f>
        <v>248.09</v>
      </c>
      <c r="L28" s="309">
        <f>282.09*(CONSTRCV)</f>
        <v>282.08999999999997</v>
      </c>
      <c r="M28" s="309">
        <f>297.56*(CONSTRCV)</f>
        <v>297.56</v>
      </c>
      <c r="N28" s="314">
        <f>336.2*(CONSTRCV)</f>
        <v>336.2</v>
      </c>
      <c r="O28" s="158">
        <v>0</v>
      </c>
      <c r="P28" s="316">
        <f>252.74*(CONSTRCV)</f>
        <v>252.74</v>
      </c>
      <c r="R28" s="625" t="s">
        <v>187</v>
      </c>
      <c r="S28" s="393" t="s">
        <v>403</v>
      </c>
      <c r="T28" s="273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</row>
    <row r="29" spans="1:43" ht="15" x14ac:dyDescent="0.25">
      <c r="A29" s="84">
        <v>700</v>
      </c>
      <c r="B29" s="308">
        <f>139.37*(CONSTRCV)</f>
        <v>139.37</v>
      </c>
      <c r="C29" s="309">
        <f>158.31*(CONSTRCV)</f>
        <v>158.31</v>
      </c>
      <c r="D29" s="309">
        <f>169.81*(CONSTRCV)</f>
        <v>169.81</v>
      </c>
      <c r="E29" s="309">
        <f>193.68*(CONSTRCV)</f>
        <v>193.68</v>
      </c>
      <c r="F29" s="309">
        <f>205.09*(CONSTRCV)</f>
        <v>205.09</v>
      </c>
      <c r="G29" s="314">
        <f>277.47*(CONSTRCV)</f>
        <v>277.47000000000003</v>
      </c>
      <c r="H29" s="84">
        <v>700</v>
      </c>
      <c r="I29" s="308">
        <f>224.45*(CONSTRCV)</f>
        <v>224.45</v>
      </c>
      <c r="J29" s="309">
        <f>248.43*(CONSTRCV)</f>
        <v>248.43</v>
      </c>
      <c r="K29" s="309">
        <f>263.16*(CONSTRCV)</f>
        <v>263.16000000000003</v>
      </c>
      <c r="L29" s="309">
        <f>300.26*(CONSTRCV)</f>
        <v>300.26</v>
      </c>
      <c r="M29" s="309">
        <f>318.02*(CONSTRCV)</f>
        <v>318.02</v>
      </c>
      <c r="N29" s="314">
        <f>375.11*(CONSTRCV)</f>
        <v>375.11</v>
      </c>
      <c r="O29" s="158">
        <v>0</v>
      </c>
      <c r="P29" s="316">
        <f>271.02*(CONSTRCV)</f>
        <v>271.02</v>
      </c>
      <c r="R29" s="264"/>
      <c r="S29" t="s">
        <v>404</v>
      </c>
      <c r="T29" s="273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</row>
    <row r="30" spans="1:43" ht="15" x14ac:dyDescent="0.25">
      <c r="A30" s="84">
        <v>800</v>
      </c>
      <c r="B30" s="308">
        <f>149.18*(CONSTRCV)</f>
        <v>149.18</v>
      </c>
      <c r="C30" s="309">
        <f>168.54*(CONSTRCV)</f>
        <v>168.54</v>
      </c>
      <c r="D30" s="309">
        <f>181.43*(CONSTRCV)</f>
        <v>181.43</v>
      </c>
      <c r="E30" s="309">
        <f>208.65*(CONSTRCV)</f>
        <v>208.65</v>
      </c>
      <c r="F30" s="309">
        <f>221.87*(CONSTRCV)</f>
        <v>221.87</v>
      </c>
      <c r="G30" s="314">
        <f>303.91*(CONSTRCV)</f>
        <v>303.91000000000003</v>
      </c>
      <c r="H30" s="84">
        <v>800</v>
      </c>
      <c r="I30" s="308">
        <f>237.79*(CONSTRCV)</f>
        <v>237.79</v>
      </c>
      <c r="J30" s="309">
        <f>262.52*(CONSTRCV)</f>
        <v>262.52</v>
      </c>
      <c r="K30" s="309">
        <f>278.86*(CONSTRCV)</f>
        <v>278.86</v>
      </c>
      <c r="L30" s="309">
        <f>319.73*(CONSTRCV)</f>
        <v>319.73</v>
      </c>
      <c r="M30" s="309">
        <f>339.94*(CONSTRCV)</f>
        <v>339.94</v>
      </c>
      <c r="N30" s="314">
        <f>418.68*(CONSTRCV)</f>
        <v>418.68</v>
      </c>
      <c r="O30" s="158">
        <v>0</v>
      </c>
      <c r="P30" s="316">
        <f>290.48*(CONSTRCV)</f>
        <v>290.48</v>
      </c>
      <c r="R30" s="626" t="s">
        <v>188</v>
      </c>
      <c r="S30" s="393" t="s">
        <v>405</v>
      </c>
      <c r="T30" s="273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</row>
    <row r="31" spans="1:43" ht="15" x14ac:dyDescent="0.25">
      <c r="A31" s="84">
        <v>900</v>
      </c>
      <c r="B31" s="308">
        <f>158.31*(CONSTRCV)</f>
        <v>158.31</v>
      </c>
      <c r="C31" s="309">
        <f>178.33*(CONSTRCV)</f>
        <v>178.33</v>
      </c>
      <c r="D31" s="309">
        <f>193.27*(CONSTRCV)</f>
        <v>193.27</v>
      </c>
      <c r="E31" s="309">
        <f>223.05*(CONSTRCV)</f>
        <v>223.05</v>
      </c>
      <c r="F31" s="309">
        <f>237.78*(CONSTRCV)</f>
        <v>237.78</v>
      </c>
      <c r="G31" s="314">
        <f>331.55*(CONSTRCV)</f>
        <v>331.55</v>
      </c>
      <c r="H31" s="84">
        <v>900</v>
      </c>
      <c r="I31" s="308">
        <f>250.37*(CONSTRCV)</f>
        <v>250.37</v>
      </c>
      <c r="J31" s="309">
        <f>275.97*(CONSTRCV)</f>
        <v>275.97000000000003</v>
      </c>
      <c r="K31" s="309">
        <f>295.85*(CONSTRCV)</f>
        <v>295.85000000000002</v>
      </c>
      <c r="L31" s="309">
        <f>341.36*(CONSTRCV)</f>
        <v>341.36</v>
      </c>
      <c r="M31" s="309">
        <f>363.08*(CONSTRCV)</f>
        <v>363.08</v>
      </c>
      <c r="N31" s="314">
        <f>444.59*(CONSTRCV)</f>
        <v>444.59</v>
      </c>
      <c r="O31" s="158">
        <v>0</v>
      </c>
      <c r="P31" s="316">
        <f>308.66*(CONSTRCV)</f>
        <v>308.66000000000003</v>
      </c>
      <c r="R31" s="264"/>
      <c r="S31" s="270" t="s">
        <v>406</v>
      </c>
      <c r="T31" s="273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</row>
    <row r="32" spans="1:43" ht="15" x14ac:dyDescent="0.25">
      <c r="A32" s="84">
        <v>1000</v>
      </c>
      <c r="B32" s="308">
        <f>167.77*(CONSTRCV)</f>
        <v>167.77</v>
      </c>
      <c r="C32" s="309">
        <f>188.32*(CONSTRCV)</f>
        <v>188.32</v>
      </c>
      <c r="D32" s="309">
        <f>204.99*(CONSTRCV)</f>
        <v>204.99</v>
      </c>
      <c r="E32" s="309">
        <f>237.46*(CONSTRCV)</f>
        <v>237.46</v>
      </c>
      <c r="F32" s="309">
        <f>254.12*(CONSTRCV)</f>
        <v>254.12</v>
      </c>
      <c r="G32" s="314">
        <f>358.56*(CONSTRCV)</f>
        <v>358.56</v>
      </c>
      <c r="H32" s="84">
        <v>1000</v>
      </c>
      <c r="I32" s="308">
        <f>263.06*(CONSTRCV)</f>
        <v>263.06</v>
      </c>
      <c r="J32" s="309">
        <f>289.42*(CONSTRCV)</f>
        <v>289.42</v>
      </c>
      <c r="K32" s="309">
        <f>312.64*(CONSTRCV)</f>
        <v>312.64</v>
      </c>
      <c r="L32" s="309">
        <f>362.11*(CONSTRCV)</f>
        <v>362.11</v>
      </c>
      <c r="M32" s="309">
        <f>386.31*(CONSTRCV)</f>
        <v>386.31</v>
      </c>
      <c r="N32" s="314">
        <f>473.32*(CONSTRCV)</f>
        <v>473.32</v>
      </c>
      <c r="O32" s="158">
        <v>0</v>
      </c>
      <c r="P32" s="316">
        <f>327.69*(CONSTRCV)</f>
        <v>327.69</v>
      </c>
      <c r="R32" s="626" t="s">
        <v>189</v>
      </c>
      <c r="S32" s="393" t="s">
        <v>405</v>
      </c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</row>
    <row r="33" spans="1:52" ht="15" x14ac:dyDescent="0.25">
      <c r="A33" s="84">
        <v>1100</v>
      </c>
      <c r="B33" s="308">
        <f>176.9*(CONSTRCV)</f>
        <v>176.9</v>
      </c>
      <c r="C33" s="309">
        <f>197.99*(CONSTRCV)</f>
        <v>197.99</v>
      </c>
      <c r="D33" s="309">
        <f>217.36*(CONSTRCV)</f>
        <v>217.36</v>
      </c>
      <c r="E33" s="309">
        <f>251.88*(CONSTRCV)</f>
        <v>251.88</v>
      </c>
      <c r="F33" s="309">
        <f>269.72*(CONSTRCV)</f>
        <v>269.72000000000003</v>
      </c>
      <c r="G33" s="314">
        <f>385.45*(CONSTRCV)</f>
        <v>385.45</v>
      </c>
      <c r="H33" s="84">
        <v>1100</v>
      </c>
      <c r="I33" s="308">
        <f>276.62*(CONSTRCV)</f>
        <v>276.62</v>
      </c>
      <c r="J33" s="309">
        <f>303.71*(CONSTRCV)</f>
        <v>303.70999999999998</v>
      </c>
      <c r="K33" s="309">
        <f>330.04*(CONSTRCV)</f>
        <v>330.04</v>
      </c>
      <c r="L33" s="309">
        <f>383.19*(CONSTRCV)</f>
        <v>383.19</v>
      </c>
      <c r="M33" s="309">
        <f>409.64*(CONSTRCV)</f>
        <v>409.64</v>
      </c>
      <c r="N33" s="314">
        <f>503.75*(CONSTRCV)</f>
        <v>503.75</v>
      </c>
      <c r="O33" s="158">
        <v>0</v>
      </c>
      <c r="P33" s="316">
        <f>346.19*(CONSTRCV)</f>
        <v>346.19</v>
      </c>
      <c r="R33" s="627" t="s">
        <v>407</v>
      </c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</row>
    <row r="34" spans="1:52" ht="15" x14ac:dyDescent="0.25">
      <c r="A34" s="84">
        <v>1200</v>
      </c>
      <c r="B34" s="308">
        <f>185.61*(CONSTRCV)</f>
        <v>185.61</v>
      </c>
      <c r="C34" s="309">
        <f>207.47*(CONSTRCV)</f>
        <v>207.47</v>
      </c>
      <c r="D34" s="309">
        <f>229.29*(CONSTRCV)</f>
        <v>229.29</v>
      </c>
      <c r="E34" s="309">
        <f>266.39*(CONSTRCV)</f>
        <v>266.39</v>
      </c>
      <c r="F34" s="309">
        <f>286.27*(CONSTRCV)</f>
        <v>286.27</v>
      </c>
      <c r="G34" s="314">
        <f>412.98*(CONSTRCV)</f>
        <v>412.98</v>
      </c>
      <c r="H34" s="84">
        <v>1200</v>
      </c>
      <c r="I34" s="308">
        <f>289.61*(CONSTRCV)</f>
        <v>289.61</v>
      </c>
      <c r="J34" s="309">
        <f>317.58*(CONSTRCV)</f>
        <v>317.58</v>
      </c>
      <c r="K34" s="309">
        <f>347.7*(CONSTRCV)</f>
        <v>347.7</v>
      </c>
      <c r="L34" s="309">
        <f>404.37*(CONSTRCV)</f>
        <v>404.37</v>
      </c>
      <c r="M34" s="309">
        <f>432.87*(CONSTRCV)</f>
        <v>432.87</v>
      </c>
      <c r="N34" s="314">
        <f>536.22*(CONSTRCV)</f>
        <v>536.22</v>
      </c>
      <c r="O34" s="158">
        <v>0</v>
      </c>
      <c r="P34" s="316">
        <f>363.73*(CONSTRCV)</f>
        <v>363.73</v>
      </c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</row>
    <row r="35" spans="1:52" ht="15" x14ac:dyDescent="0.25">
      <c r="A35" s="84">
        <v>1400</v>
      </c>
      <c r="B35" s="308">
        <f>204.45*(CONSTRCV)</f>
        <v>204.45</v>
      </c>
      <c r="C35" s="309">
        <f>227.14*(CONSTRCV)</f>
        <v>227.14</v>
      </c>
      <c r="D35" s="309">
        <f>253.27*(CONSTRCV)</f>
        <v>253.27</v>
      </c>
      <c r="E35" s="309">
        <f>295.76*(CONSTRCV)</f>
        <v>295.76</v>
      </c>
      <c r="F35" s="309">
        <f>318.88*(CONSTRCV)</f>
        <v>318.88</v>
      </c>
      <c r="G35" s="314">
        <f>467.18*(CONSTRCV)</f>
        <v>467.18</v>
      </c>
      <c r="H35" s="84">
        <v>1400</v>
      </c>
      <c r="I35" s="308">
        <f>315.97*(CONSTRCV)</f>
        <v>315.97000000000003</v>
      </c>
      <c r="J35" s="309">
        <f>345.55*(CONSTRCV)</f>
        <v>345.55</v>
      </c>
      <c r="K35" s="309">
        <f>381.57*(CONSTRCV)</f>
        <v>381.57</v>
      </c>
      <c r="L35" s="309">
        <f>445.9*(CONSTRCV)</f>
        <v>445.9</v>
      </c>
      <c r="M35" s="309">
        <f>479.12*(CONSTRCV)</f>
        <v>479.12</v>
      </c>
      <c r="N35" s="314">
        <f>593.33*(CONSTRCV)</f>
        <v>593.33000000000004</v>
      </c>
      <c r="O35" s="158">
        <v>0</v>
      </c>
      <c r="P35" s="316">
        <f>400.93*(CONSTRCV)</f>
        <v>400.93</v>
      </c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</row>
    <row r="36" spans="1:52" ht="15" x14ac:dyDescent="0.25">
      <c r="A36" s="84">
        <v>1600</v>
      </c>
      <c r="B36" s="308">
        <f>222.95*(CONSTRCV)</f>
        <v>222.95</v>
      </c>
      <c r="C36" s="309">
        <f>246.82*(CONSTRCV)</f>
        <v>246.82</v>
      </c>
      <c r="D36" s="309">
        <f>277.04*(CONSTRCV)</f>
        <v>277.04000000000002</v>
      </c>
      <c r="E36" s="309">
        <f>324.91*(CONSTRCV)</f>
        <v>324.91000000000003</v>
      </c>
      <c r="F36" s="309">
        <f>350.91*(CONSTRCV)</f>
        <v>350.91</v>
      </c>
      <c r="G36" s="314">
        <f>521.37*(CONSTRCV)</f>
        <v>521.37</v>
      </c>
      <c r="H36" s="84">
        <v>1600</v>
      </c>
      <c r="I36" s="308">
        <f>342.21*(CONSTRCV)</f>
        <v>342.21</v>
      </c>
      <c r="J36" s="309">
        <f>373.29*(CONSTRCV)</f>
        <v>373.29</v>
      </c>
      <c r="K36" s="309">
        <f>415.56*(CONSTRCV)</f>
        <v>415.56</v>
      </c>
      <c r="L36" s="309">
        <f>488.03*(CONSTRCV)</f>
        <v>488.03</v>
      </c>
      <c r="M36" s="309">
        <f>526.13*(CONSTRCV)</f>
        <v>526.13</v>
      </c>
      <c r="N36" s="314">
        <f>648.72*(CONSTRCV)</f>
        <v>648.72</v>
      </c>
      <c r="O36" s="158">
        <v>0</v>
      </c>
      <c r="P36" s="316">
        <f>438.03*(CONSTRCV)</f>
        <v>438.03</v>
      </c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</row>
    <row r="37" spans="1:52" ht="15" x14ac:dyDescent="0.25">
      <c r="A37" s="84">
        <v>1800</v>
      </c>
      <c r="B37" s="308">
        <f>241.87*(CONSTRCV)</f>
        <v>241.87</v>
      </c>
      <c r="C37" s="309">
        <f>266.93*(CONSTRCV)</f>
        <v>266.93</v>
      </c>
      <c r="D37" s="309">
        <f>300.71*(CONSTRCV)</f>
        <v>300.70999999999998</v>
      </c>
      <c r="E37" s="309">
        <f>354.25*(CONSTRCV)</f>
        <v>354.25</v>
      </c>
      <c r="F37" s="309">
        <f>383.41*(CONSTRCV)</f>
        <v>383.41</v>
      </c>
      <c r="G37" s="314">
        <f>575.48*(CONSTRCV)</f>
        <v>575.48</v>
      </c>
      <c r="H37" s="84">
        <v>1800</v>
      </c>
      <c r="I37" s="308">
        <f>360.48*(CONSTRCV)</f>
        <v>360.48</v>
      </c>
      <c r="J37" s="309">
        <f>392.64*(CONSTRCV)</f>
        <v>392.64</v>
      </c>
      <c r="K37" s="309">
        <f>450.08*(CONSTRCV)</f>
        <v>450.08</v>
      </c>
      <c r="L37" s="309">
        <f>529.65*(CONSTRCV)</f>
        <v>529.65</v>
      </c>
      <c r="M37" s="309">
        <f>572.35*(CONSTRCV)</f>
        <v>572.35</v>
      </c>
      <c r="N37" s="314">
        <f>709.37*(CONSTRCV)</f>
        <v>709.37</v>
      </c>
      <c r="O37" s="158">
        <v>0</v>
      </c>
      <c r="P37" s="316">
        <f>475.89*(CONSTRCV)</f>
        <v>475.89</v>
      </c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</row>
    <row r="38" spans="1:52" ht="15" x14ac:dyDescent="0.25">
      <c r="A38" s="84">
        <v>2000</v>
      </c>
      <c r="B38" s="308">
        <f>260.28*(CONSTRCV)</f>
        <v>260.27999999999997</v>
      </c>
      <c r="C38" s="309">
        <f>286.51*(CONSTRCV)</f>
        <v>286.51</v>
      </c>
      <c r="D38" s="309">
        <f>325.32*(CONSTRCV)</f>
        <v>325.32</v>
      </c>
      <c r="E38" s="309">
        <f>383.41*(CONSTRCV)</f>
        <v>383.41</v>
      </c>
      <c r="F38" s="309">
        <f>415.66*(CONSTRCV)</f>
        <v>415.66</v>
      </c>
      <c r="G38" s="314">
        <f>630.44*(CONSTRCV)</f>
        <v>630.44000000000005</v>
      </c>
      <c r="H38" s="84">
        <v>2000</v>
      </c>
      <c r="I38" s="308">
        <f>394.37*(CONSTRCV)</f>
        <v>394.37</v>
      </c>
      <c r="J38" s="309">
        <f>428.68*(CONSTRCV)</f>
        <v>428.68</v>
      </c>
      <c r="K38" s="309">
        <f>484.17*(CONSTRCV)</f>
        <v>484.17</v>
      </c>
      <c r="L38" s="309">
        <f>571.39*(CONSTRCV)</f>
        <v>571.39</v>
      </c>
      <c r="M38" s="309">
        <f>619.58*(CONSTRCV)</f>
        <v>619.58000000000004</v>
      </c>
      <c r="N38" s="314">
        <f>763.25*(CONSTRCV)</f>
        <v>763.25</v>
      </c>
      <c r="O38" s="158">
        <v>0</v>
      </c>
      <c r="P38" s="316">
        <f>512.78*(CONSTRCV)</f>
        <v>512.78</v>
      </c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</row>
    <row r="39" spans="1:52" ht="15" x14ac:dyDescent="0.25">
      <c r="A39" s="84">
        <v>2300</v>
      </c>
      <c r="B39" s="308">
        <f>288.22*(CONSTRCV)</f>
        <v>288.22000000000003</v>
      </c>
      <c r="C39" s="309">
        <f>316.08*(CONSTRCV)</f>
        <v>316.08</v>
      </c>
      <c r="D39" s="309">
        <f>361.03*(CONSTRCV)</f>
        <v>361.03</v>
      </c>
      <c r="E39" s="309">
        <f>427.51*(CONSTRCV)</f>
        <v>427.51</v>
      </c>
      <c r="F39" s="309">
        <f>464.6*(CONSTRCV)</f>
        <v>464.6</v>
      </c>
      <c r="G39" s="314">
        <f>706.9*(CONSTRCV)</f>
        <v>706.9</v>
      </c>
      <c r="H39" s="84">
        <v>2300</v>
      </c>
      <c r="I39" s="308">
        <f>434.07*(CONSTRCV)</f>
        <v>434.07</v>
      </c>
      <c r="J39" s="309">
        <f>470.51*(CONSTRCV)</f>
        <v>470.51</v>
      </c>
      <c r="K39" s="309">
        <f>535.9*(CONSTRCV)</f>
        <v>535.9</v>
      </c>
      <c r="L39" s="309">
        <f>634.85*(CONSTRCV)</f>
        <v>634.85</v>
      </c>
      <c r="M39" s="309">
        <f>689.17*(CONSTRCV)</f>
        <v>689.17</v>
      </c>
      <c r="N39" s="314">
        <f>820.68*(CONSTRCV)</f>
        <v>820.68</v>
      </c>
      <c r="O39" s="158">
        <v>0</v>
      </c>
      <c r="P39" s="316">
        <f>568.7*(CONSTRCV)</f>
        <v>568.70000000000005</v>
      </c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</row>
    <row r="40" spans="1:52" ht="15" x14ac:dyDescent="0.25">
      <c r="A40" s="84">
        <v>2600</v>
      </c>
      <c r="B40" s="308">
        <f>315.97*(CONSTRCV)</f>
        <v>315.97000000000003</v>
      </c>
      <c r="C40" s="309">
        <f>345.55*(CONSTRCV)</f>
        <v>345.55</v>
      </c>
      <c r="D40" s="309">
        <f>397.17*(CONSTRCV)</f>
        <v>397.17</v>
      </c>
      <c r="E40" s="309">
        <f>471.36*(CONSTRCV)</f>
        <v>471.36</v>
      </c>
      <c r="F40" s="309">
        <f>513.22*(CONSTRCV)</f>
        <v>513.22</v>
      </c>
      <c r="G40" s="314">
        <f>780.47*(CONSTRCV)</f>
        <v>780.47</v>
      </c>
      <c r="H40" s="84">
        <v>2600</v>
      </c>
      <c r="I40" s="308">
        <f>473.19*(CONSTRCV)</f>
        <v>473.19</v>
      </c>
      <c r="J40" s="309">
        <f>512.24*(CONSTRCV)</f>
        <v>512.24</v>
      </c>
      <c r="K40" s="309">
        <f>586.9*(CONSTRCV)</f>
        <v>586.9</v>
      </c>
      <c r="L40" s="309">
        <f>697.65*(CONSTRCV)</f>
        <v>697.65</v>
      </c>
      <c r="M40" s="309">
        <f>759.59*(CONSTRCV)</f>
        <v>759.59</v>
      </c>
      <c r="N40" s="314">
        <f>904.66*(CONSTRCV)</f>
        <v>904.66</v>
      </c>
      <c r="O40" s="158">
        <v>0</v>
      </c>
      <c r="P40" s="316">
        <f>624.09*(CONSTRCV)</f>
        <v>624.09</v>
      </c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</row>
    <row r="41" spans="1:52" ht="15.75" thickBot="1" x14ac:dyDescent="0.3">
      <c r="A41" s="86">
        <v>3000</v>
      </c>
      <c r="B41" s="310">
        <f>353.06*(CONSTRCV)</f>
        <v>353.06</v>
      </c>
      <c r="C41" s="311">
        <f>385.01*(CONSTRCV)</f>
        <v>385.01</v>
      </c>
      <c r="D41" s="311">
        <f>445.24*(CONSTRCV)</f>
        <v>445.24</v>
      </c>
      <c r="E41" s="311">
        <f>529.65*(CONSTRCV)</f>
        <v>529.65</v>
      </c>
      <c r="F41" s="311">
        <f>577.73*(CONSTRCV)</f>
        <v>577.73</v>
      </c>
      <c r="G41" s="315">
        <f>880.58*(CONSTRCV)</f>
        <v>880.58</v>
      </c>
      <c r="H41" s="86">
        <v>3000</v>
      </c>
      <c r="I41" s="310">
        <f>513.87*(CONSTRCV)</f>
        <v>513.87</v>
      </c>
      <c r="J41" s="311">
        <f>555.35*(CONSTRCV)</f>
        <v>555.35</v>
      </c>
      <c r="K41" s="311">
        <f>642.16*(CONSTRCV)</f>
        <v>642.16</v>
      </c>
      <c r="L41" s="311">
        <f>766.49*(CONSTRCV)</f>
        <v>766.49</v>
      </c>
      <c r="M41" s="311">
        <f>836.6*(CONSTRCV)</f>
        <v>836.6</v>
      </c>
      <c r="N41" s="315">
        <f>997.7*(CONSTRCV)</f>
        <v>997.7</v>
      </c>
      <c r="O41" s="159">
        <v>0</v>
      </c>
      <c r="P41" s="317">
        <f>698.39*(CONSTRCV)</f>
        <v>698.39</v>
      </c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</row>
    <row r="42" spans="1:52" ht="13.5" thickTop="1" x14ac:dyDescent="0.2">
      <c r="A42" s="43"/>
      <c r="B42" s="43"/>
      <c r="C42" s="43"/>
      <c r="D42" s="43"/>
      <c r="E42" s="43"/>
      <c r="F42" s="43"/>
      <c r="G42" s="43"/>
      <c r="H42" s="43"/>
      <c r="I42" s="393"/>
      <c r="J42" s="273"/>
      <c r="K42" s="273"/>
      <c r="L42" s="273"/>
      <c r="M42" s="273"/>
      <c r="N42" s="43"/>
      <c r="O42" s="43"/>
      <c r="P42" s="43"/>
      <c r="Q42" s="43"/>
      <c r="R42" s="43"/>
      <c r="S42" s="43"/>
      <c r="T42" s="43"/>
      <c r="W42" s="482"/>
      <c r="X42" s="482"/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Z42" s="1"/>
    </row>
    <row r="43" spans="1:52" x14ac:dyDescent="0.2">
      <c r="B43" s="40"/>
      <c r="C43" s="43"/>
      <c r="D43" s="43"/>
      <c r="E43" s="43"/>
      <c r="F43" s="43"/>
      <c r="G43" s="43"/>
      <c r="H43" s="394"/>
      <c r="I43" s="393"/>
      <c r="J43" s="273"/>
      <c r="K43" s="273"/>
      <c r="L43" s="273"/>
      <c r="M43" s="273"/>
      <c r="N43" s="43"/>
      <c r="O43" s="43"/>
      <c r="P43" s="43"/>
      <c r="Q43" s="43"/>
      <c r="R43" s="43"/>
      <c r="S43" s="43"/>
      <c r="T43" s="43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Z43" s="1"/>
    </row>
    <row r="44" spans="1:52" x14ac:dyDescent="0.2">
      <c r="A44" s="43"/>
      <c r="B44" s="43"/>
      <c r="C44" s="43"/>
      <c r="D44" s="43"/>
      <c r="E44" s="43"/>
      <c r="F44" s="43"/>
      <c r="G44" s="43"/>
      <c r="H44" s="395"/>
      <c r="I44" s="393"/>
      <c r="J44" s="273"/>
      <c r="K44" s="273"/>
      <c r="L44" s="273"/>
      <c r="M44" s="273"/>
      <c r="N44" s="43"/>
      <c r="O44" s="43"/>
      <c r="P44" s="43"/>
      <c r="Q44" s="43"/>
      <c r="R44" s="43"/>
      <c r="S44" s="43"/>
      <c r="T44" s="43"/>
      <c r="W44" s="482"/>
      <c r="X44" s="482"/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Z44" s="1"/>
    </row>
    <row r="45" spans="1:52" x14ac:dyDescent="0.2">
      <c r="A45" s="43"/>
      <c r="B45" s="43"/>
      <c r="C45" s="43"/>
      <c r="D45" s="43"/>
      <c r="E45" s="43"/>
      <c r="F45" s="43"/>
      <c r="G45" s="43"/>
      <c r="H45" s="394"/>
      <c r="I45" s="393"/>
      <c r="J45" s="273"/>
      <c r="K45" s="273"/>
      <c r="L45" s="273"/>
      <c r="M45" s="273"/>
      <c r="N45" s="43"/>
      <c r="O45" s="43"/>
      <c r="P45" s="43"/>
      <c r="Q45" s="43"/>
      <c r="R45" s="43"/>
      <c r="S45" s="43"/>
      <c r="T45" s="43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Z45" s="1"/>
    </row>
    <row r="46" spans="1:52" x14ac:dyDescent="0.2">
      <c r="A46" s="43"/>
      <c r="B46" s="43"/>
      <c r="C46" s="43"/>
      <c r="D46" s="43"/>
      <c r="E46" s="43"/>
      <c r="F46" s="43"/>
      <c r="G46" s="43"/>
      <c r="H46" s="394"/>
      <c r="I46" s="393"/>
      <c r="J46" s="273"/>
      <c r="K46" s="273"/>
      <c r="L46" s="273"/>
      <c r="M46" s="273"/>
      <c r="N46" s="43"/>
      <c r="O46" s="43"/>
      <c r="P46" s="43"/>
      <c r="Q46" s="43"/>
      <c r="R46" s="43"/>
      <c r="S46" s="43"/>
      <c r="T46" s="43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Z46" s="1"/>
    </row>
    <row r="47" spans="1:52" x14ac:dyDescent="0.2"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</row>
    <row r="48" spans="1:52" x14ac:dyDescent="0.2">
      <c r="W48" s="482"/>
      <c r="X48" s="482"/>
      <c r="Y48" s="482"/>
      <c r="Z48" s="482"/>
      <c r="AA48" s="482"/>
      <c r="AB48" s="482"/>
      <c r="AC48" s="482"/>
      <c r="AD48" s="482"/>
      <c r="AE48" s="482"/>
      <c r="AF48" s="482"/>
      <c r="AG48" s="482"/>
      <c r="AH48" s="482"/>
      <c r="AI48" s="482"/>
      <c r="AJ48" s="482"/>
      <c r="AK48" s="482"/>
      <c r="AL48" s="482"/>
      <c r="AM48" s="482"/>
      <c r="AN48" s="482"/>
      <c r="AO48" s="482"/>
      <c r="AP48" s="482"/>
      <c r="AQ48" s="482"/>
    </row>
    <row r="49" spans="23:43" x14ac:dyDescent="0.2"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</row>
    <row r="50" spans="23:43" x14ac:dyDescent="0.2">
      <c r="W50" s="482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2"/>
      <c r="AI50" s="482"/>
      <c r="AJ50" s="482"/>
      <c r="AK50" s="482"/>
      <c r="AL50" s="482"/>
      <c r="AM50" s="482"/>
      <c r="AN50" s="482"/>
      <c r="AO50" s="482"/>
      <c r="AP50" s="482"/>
      <c r="AQ50" s="482"/>
    </row>
    <row r="51" spans="23:43" x14ac:dyDescent="0.2">
      <c r="W51" s="482"/>
      <c r="X51" s="482"/>
      <c r="Y51" s="482"/>
      <c r="Z51" s="482"/>
      <c r="AA51" s="482"/>
      <c r="AB51" s="482"/>
      <c r="AC51" s="482"/>
      <c r="AD51" s="482"/>
      <c r="AE51" s="482"/>
      <c r="AF51" s="482"/>
      <c r="AG51" s="482"/>
      <c r="AH51" s="482"/>
      <c r="AI51" s="482"/>
      <c r="AJ51" s="482"/>
      <c r="AK51" s="482"/>
      <c r="AL51" s="482"/>
      <c r="AM51" s="482"/>
      <c r="AN51" s="482"/>
      <c r="AO51" s="482"/>
      <c r="AP51" s="482"/>
      <c r="AQ51" s="482"/>
    </row>
    <row r="52" spans="23:43" x14ac:dyDescent="0.2">
      <c r="W52" s="482"/>
      <c r="X52" s="482"/>
      <c r="Y52" s="482"/>
      <c r="Z52" s="482"/>
      <c r="AA52" s="482"/>
      <c r="AB52" s="482"/>
      <c r="AC52" s="482"/>
      <c r="AD52" s="482"/>
      <c r="AE52" s="482"/>
      <c r="AF52" s="482"/>
      <c r="AG52" s="482"/>
      <c r="AH52" s="482"/>
      <c r="AI52" s="482"/>
      <c r="AJ52" s="482"/>
      <c r="AK52" s="482"/>
      <c r="AL52" s="482"/>
      <c r="AM52" s="482"/>
      <c r="AN52" s="482"/>
      <c r="AO52" s="482"/>
      <c r="AP52" s="482"/>
      <c r="AQ52" s="482"/>
    </row>
    <row r="53" spans="23:43" x14ac:dyDescent="0.2"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2"/>
      <c r="AL53" s="482"/>
      <c r="AM53" s="482"/>
      <c r="AN53" s="482"/>
      <c r="AO53" s="482"/>
      <c r="AP53" s="482"/>
      <c r="AQ53" s="482"/>
    </row>
    <row r="54" spans="23:43" x14ac:dyDescent="0.2">
      <c r="W54" s="482"/>
      <c r="X54" s="482"/>
      <c r="Y54" s="482"/>
      <c r="Z54" s="482"/>
      <c r="AA54" s="482"/>
      <c r="AB54" s="482"/>
      <c r="AC54" s="482"/>
      <c r="AD54" s="482"/>
      <c r="AE54" s="482"/>
      <c r="AF54" s="482"/>
      <c r="AG54" s="482"/>
      <c r="AH54" s="482"/>
      <c r="AI54" s="482"/>
      <c r="AJ54" s="482"/>
      <c r="AK54" s="482"/>
      <c r="AL54" s="482"/>
      <c r="AM54" s="482"/>
      <c r="AN54" s="482"/>
      <c r="AO54" s="482"/>
      <c r="AP54" s="482"/>
      <c r="AQ54" s="482"/>
    </row>
    <row r="55" spans="23:43" x14ac:dyDescent="0.2">
      <c r="W55" s="482"/>
      <c r="X55" s="482"/>
      <c r="Y55" s="482"/>
      <c r="Z55" s="482"/>
      <c r="AA55" s="482"/>
      <c r="AB55" s="482"/>
      <c r="AC55" s="482"/>
      <c r="AD55" s="482"/>
      <c r="AE55" s="482"/>
      <c r="AF55" s="482"/>
      <c r="AG55" s="482"/>
      <c r="AH55" s="482"/>
      <c r="AI55" s="482"/>
      <c r="AJ55" s="482"/>
      <c r="AK55" s="482"/>
      <c r="AL55" s="482"/>
      <c r="AM55" s="482"/>
      <c r="AN55" s="482"/>
      <c r="AO55" s="482"/>
      <c r="AP55" s="482"/>
      <c r="AQ55" s="482"/>
    </row>
    <row r="56" spans="23:43" x14ac:dyDescent="0.2">
      <c r="W56" s="482"/>
      <c r="X56" s="482"/>
      <c r="Y56" s="482"/>
      <c r="Z56" s="482"/>
      <c r="AA56" s="482"/>
      <c r="AB56" s="482"/>
      <c r="AC56" s="482"/>
      <c r="AD56" s="482"/>
      <c r="AE56" s="482"/>
      <c r="AF56" s="482"/>
      <c r="AG56" s="482"/>
      <c r="AH56" s="482"/>
      <c r="AI56" s="482"/>
      <c r="AJ56" s="482"/>
      <c r="AK56" s="482"/>
      <c r="AL56" s="482"/>
      <c r="AM56" s="482"/>
      <c r="AN56" s="482"/>
      <c r="AO56" s="482"/>
      <c r="AP56" s="482"/>
      <c r="AQ56" s="482"/>
    </row>
    <row r="57" spans="23:43" x14ac:dyDescent="0.2"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482"/>
      <c r="AL57" s="482"/>
      <c r="AM57" s="482"/>
      <c r="AN57" s="482"/>
      <c r="AO57" s="482"/>
      <c r="AP57" s="482"/>
      <c r="AQ57" s="482"/>
    </row>
    <row r="58" spans="23:43" x14ac:dyDescent="0.2"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</row>
    <row r="59" spans="23:43" x14ac:dyDescent="0.2"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482"/>
      <c r="AL59" s="482"/>
      <c r="AM59" s="482"/>
      <c r="AN59" s="482"/>
      <c r="AO59" s="482"/>
      <c r="AP59" s="482"/>
      <c r="AQ59" s="482"/>
    </row>
    <row r="60" spans="23:43" x14ac:dyDescent="0.2">
      <c r="W60" s="482"/>
      <c r="X60" s="482"/>
      <c r="Y60" s="482"/>
      <c r="Z60" s="482"/>
      <c r="AA60" s="482"/>
      <c r="AB60" s="482"/>
      <c r="AC60" s="482"/>
      <c r="AD60" s="482"/>
      <c r="AE60" s="482"/>
      <c r="AF60" s="482"/>
      <c r="AG60" s="482"/>
      <c r="AH60" s="482"/>
      <c r="AI60" s="482"/>
      <c r="AJ60" s="482"/>
      <c r="AK60" s="482"/>
      <c r="AL60" s="482"/>
      <c r="AM60" s="482"/>
      <c r="AN60" s="482"/>
      <c r="AO60" s="482"/>
      <c r="AP60" s="482"/>
      <c r="AQ60" s="482"/>
    </row>
    <row r="61" spans="23:43" x14ac:dyDescent="0.2"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</row>
    <row r="62" spans="23:43" x14ac:dyDescent="0.2">
      <c r="W62" s="482"/>
      <c r="X62" s="482"/>
      <c r="Y62" s="482"/>
      <c r="Z62" s="482"/>
      <c r="AA62" s="482"/>
      <c r="AB62" s="482"/>
      <c r="AC62" s="482"/>
      <c r="AD62" s="482"/>
      <c r="AE62" s="482"/>
      <c r="AF62" s="482"/>
      <c r="AG62" s="482"/>
      <c r="AH62" s="482"/>
      <c r="AI62" s="482"/>
      <c r="AJ62" s="482"/>
      <c r="AK62" s="482"/>
      <c r="AL62" s="482"/>
      <c r="AM62" s="482"/>
      <c r="AN62" s="482"/>
      <c r="AO62" s="482"/>
      <c r="AP62" s="482"/>
      <c r="AQ62" s="482"/>
    </row>
    <row r="63" spans="23:43" x14ac:dyDescent="0.2">
      <c r="W63" s="482"/>
      <c r="X63" s="482"/>
      <c r="Y63" s="482"/>
      <c r="Z63" s="482"/>
      <c r="AA63" s="482"/>
      <c r="AB63" s="482"/>
      <c r="AC63" s="482"/>
      <c r="AD63" s="482"/>
      <c r="AE63" s="482"/>
      <c r="AF63" s="482"/>
      <c r="AG63" s="482"/>
      <c r="AH63" s="482"/>
      <c r="AI63" s="482"/>
      <c r="AJ63" s="482"/>
      <c r="AK63" s="482"/>
      <c r="AL63" s="482"/>
      <c r="AM63" s="482"/>
      <c r="AN63" s="482"/>
      <c r="AO63" s="482"/>
      <c r="AP63" s="482"/>
      <c r="AQ63" s="482"/>
    </row>
    <row r="64" spans="23:43" x14ac:dyDescent="0.2">
      <c r="W64" s="482"/>
      <c r="X64" s="482"/>
      <c r="Y64" s="482"/>
      <c r="Z64" s="482"/>
      <c r="AA64" s="482"/>
      <c r="AB64" s="482"/>
      <c r="AC64" s="482"/>
      <c r="AD64" s="482"/>
      <c r="AE64" s="482"/>
      <c r="AF64" s="482"/>
      <c r="AG64" s="482"/>
      <c r="AH64" s="482"/>
      <c r="AI64" s="482"/>
      <c r="AJ64" s="482"/>
      <c r="AK64" s="482"/>
      <c r="AL64" s="482"/>
      <c r="AM64" s="482"/>
      <c r="AN64" s="482"/>
      <c r="AO64" s="482"/>
      <c r="AP64" s="482"/>
      <c r="AQ64" s="482"/>
    </row>
    <row r="65" spans="23:43" x14ac:dyDescent="0.2">
      <c r="W65" s="482"/>
      <c r="X65" s="482"/>
      <c r="Y65" s="482"/>
      <c r="Z65" s="482"/>
      <c r="AA65" s="482"/>
      <c r="AB65" s="482"/>
      <c r="AC65" s="482"/>
      <c r="AD65" s="482"/>
      <c r="AE65" s="482"/>
      <c r="AF65" s="482"/>
      <c r="AG65" s="482"/>
      <c r="AH65" s="482"/>
      <c r="AI65" s="482"/>
      <c r="AJ65" s="482"/>
      <c r="AK65" s="482"/>
      <c r="AL65" s="482"/>
      <c r="AM65" s="482"/>
      <c r="AN65" s="482"/>
      <c r="AO65" s="482"/>
      <c r="AP65" s="482"/>
      <c r="AQ65" s="482"/>
    </row>
    <row r="66" spans="23:43" x14ac:dyDescent="0.2"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82"/>
      <c r="AO66" s="482"/>
      <c r="AP66" s="482"/>
      <c r="AQ66" s="482"/>
    </row>
    <row r="67" spans="23:43" x14ac:dyDescent="0.2"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</row>
    <row r="68" spans="23:43" x14ac:dyDescent="0.2"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</row>
    <row r="69" spans="23:43" x14ac:dyDescent="0.2"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</row>
    <row r="70" spans="23:43" x14ac:dyDescent="0.2">
      <c r="W70" s="482"/>
      <c r="X70" s="482"/>
      <c r="Y70" s="482"/>
      <c r="Z70" s="482"/>
      <c r="AA70" s="482"/>
      <c r="AB70" s="482"/>
      <c r="AC70" s="482"/>
      <c r="AD70" s="482"/>
      <c r="AE70" s="482"/>
      <c r="AF70" s="482"/>
      <c r="AG70" s="482"/>
      <c r="AH70" s="482"/>
      <c r="AI70" s="482"/>
      <c r="AJ70" s="482"/>
      <c r="AK70" s="482"/>
      <c r="AL70" s="482"/>
      <c r="AM70" s="482"/>
      <c r="AN70" s="482"/>
      <c r="AO70" s="482"/>
      <c r="AP70" s="482"/>
      <c r="AQ70" s="482"/>
    </row>
    <row r="71" spans="23:43" x14ac:dyDescent="0.2"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  <c r="AN71" s="482"/>
      <c r="AO71" s="482"/>
      <c r="AP71" s="482"/>
      <c r="AQ71" s="482"/>
    </row>
    <row r="72" spans="23:43" x14ac:dyDescent="0.2">
      <c r="W72" s="482"/>
      <c r="X72" s="482"/>
      <c r="Y72" s="482"/>
      <c r="Z72" s="482"/>
      <c r="AA72" s="482"/>
      <c r="AB72" s="482"/>
      <c r="AC72" s="482"/>
      <c r="AD72" s="482"/>
      <c r="AE72" s="482"/>
      <c r="AF72" s="482"/>
      <c r="AG72" s="482"/>
      <c r="AH72" s="482"/>
      <c r="AI72" s="482"/>
      <c r="AJ72" s="482"/>
      <c r="AK72" s="482"/>
      <c r="AL72" s="482"/>
      <c r="AM72" s="482"/>
      <c r="AN72" s="482"/>
      <c r="AO72" s="482"/>
      <c r="AP72" s="482"/>
      <c r="AQ72" s="482"/>
    </row>
    <row r="73" spans="23:43" x14ac:dyDescent="0.2">
      <c r="W73" s="482"/>
      <c r="X73" s="482"/>
      <c r="Y73" s="482"/>
      <c r="Z73" s="482"/>
      <c r="AA73" s="482"/>
      <c r="AB73" s="482"/>
      <c r="AC73" s="482"/>
      <c r="AD73" s="482"/>
      <c r="AE73" s="482"/>
      <c r="AF73" s="482"/>
      <c r="AG73" s="482"/>
      <c r="AH73" s="482"/>
      <c r="AI73" s="482"/>
      <c r="AJ73" s="482"/>
      <c r="AK73" s="482"/>
      <c r="AL73" s="482"/>
      <c r="AM73" s="482"/>
      <c r="AN73" s="482"/>
      <c r="AO73" s="482"/>
      <c r="AP73" s="482"/>
      <c r="AQ73" s="482"/>
    </row>
    <row r="74" spans="23:43" x14ac:dyDescent="0.2"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2"/>
      <c r="AK74" s="482"/>
      <c r="AL74" s="482"/>
      <c r="AM74" s="482"/>
      <c r="AN74" s="482"/>
      <c r="AO74" s="482"/>
      <c r="AP74" s="482"/>
      <c r="AQ74" s="482"/>
    </row>
    <row r="75" spans="23:43" x14ac:dyDescent="0.2"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K75" s="482"/>
      <c r="AL75" s="482"/>
      <c r="AM75" s="482"/>
      <c r="AN75" s="482"/>
      <c r="AO75" s="482"/>
      <c r="AP75" s="482"/>
      <c r="AQ75" s="482"/>
    </row>
    <row r="76" spans="23:43" x14ac:dyDescent="0.2"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K76" s="482"/>
      <c r="AL76" s="482"/>
      <c r="AM76" s="482"/>
      <c r="AN76" s="482"/>
      <c r="AO76" s="482"/>
      <c r="AP76" s="482"/>
      <c r="AQ76" s="482"/>
    </row>
    <row r="77" spans="23:43" x14ac:dyDescent="0.2">
      <c r="W77" s="482"/>
      <c r="X77" s="482"/>
      <c r="Y77" s="482"/>
      <c r="Z77" s="482"/>
      <c r="AA77" s="482"/>
      <c r="AB77" s="482"/>
      <c r="AC77" s="482"/>
      <c r="AD77" s="482"/>
      <c r="AE77" s="482"/>
      <c r="AF77" s="482"/>
      <c r="AG77" s="482"/>
      <c r="AH77" s="482"/>
      <c r="AI77" s="482"/>
      <c r="AJ77" s="482"/>
      <c r="AK77" s="482"/>
      <c r="AL77" s="482"/>
      <c r="AM77" s="482"/>
      <c r="AN77" s="482"/>
      <c r="AO77" s="482"/>
      <c r="AP77" s="482"/>
      <c r="AQ77" s="482"/>
    </row>
    <row r="78" spans="23:43" x14ac:dyDescent="0.2"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K78" s="482"/>
      <c r="AL78" s="482"/>
      <c r="AM78" s="482"/>
      <c r="AN78" s="482"/>
      <c r="AO78" s="482"/>
      <c r="AP78" s="482"/>
      <c r="AQ78" s="482"/>
    </row>
    <row r="79" spans="23:43" x14ac:dyDescent="0.2">
      <c r="W79" s="482"/>
      <c r="X79" s="482"/>
      <c r="Y79" s="482"/>
      <c r="Z79" s="482"/>
      <c r="AA79" s="482"/>
      <c r="AB79" s="482"/>
      <c r="AC79" s="482"/>
      <c r="AD79" s="482"/>
      <c r="AE79" s="482"/>
      <c r="AF79" s="482"/>
      <c r="AG79" s="482"/>
      <c r="AH79" s="482"/>
      <c r="AI79" s="482"/>
      <c r="AJ79" s="482"/>
      <c r="AK79" s="482"/>
      <c r="AL79" s="482"/>
      <c r="AM79" s="482"/>
      <c r="AN79" s="482"/>
      <c r="AO79" s="482"/>
      <c r="AP79" s="482"/>
      <c r="AQ79" s="482"/>
    </row>
    <row r="80" spans="23:43" x14ac:dyDescent="0.2">
      <c r="W80" s="482"/>
      <c r="X80" s="482"/>
      <c r="Y80" s="482"/>
      <c r="Z80" s="482"/>
      <c r="AA80" s="482"/>
      <c r="AB80" s="482"/>
      <c r="AC80" s="482"/>
      <c r="AD80" s="482"/>
      <c r="AE80" s="482"/>
      <c r="AF80" s="482"/>
      <c r="AG80" s="482"/>
      <c r="AH80" s="482"/>
      <c r="AI80" s="482"/>
      <c r="AJ80" s="482"/>
      <c r="AK80" s="482"/>
      <c r="AL80" s="482"/>
      <c r="AM80" s="482"/>
      <c r="AN80" s="482"/>
      <c r="AO80" s="482"/>
      <c r="AP80" s="482"/>
      <c r="AQ80" s="482"/>
    </row>
    <row r="81" spans="23:43" x14ac:dyDescent="0.2"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2"/>
      <c r="AI81" s="482"/>
      <c r="AJ81" s="482"/>
      <c r="AK81" s="482"/>
      <c r="AL81" s="482"/>
      <c r="AM81" s="482"/>
      <c r="AN81" s="482"/>
      <c r="AO81" s="482"/>
      <c r="AP81" s="482"/>
      <c r="AQ81" s="482"/>
    </row>
    <row r="82" spans="23:43" x14ac:dyDescent="0.2">
      <c r="W82" s="482"/>
      <c r="X82" s="482"/>
      <c r="Y82" s="482"/>
      <c r="Z82" s="482"/>
      <c r="AA82" s="482"/>
      <c r="AB82" s="482"/>
      <c r="AC82" s="482"/>
      <c r="AD82" s="482"/>
      <c r="AE82" s="482"/>
      <c r="AF82" s="482"/>
      <c r="AG82" s="482"/>
      <c r="AH82" s="482"/>
      <c r="AI82" s="482"/>
      <c r="AJ82" s="482"/>
      <c r="AK82" s="482"/>
      <c r="AL82" s="482"/>
      <c r="AM82" s="482"/>
      <c r="AN82" s="482"/>
      <c r="AO82" s="482"/>
      <c r="AP82" s="482"/>
      <c r="AQ82" s="482"/>
    </row>
    <row r="83" spans="23:43" x14ac:dyDescent="0.2">
      <c r="W83" s="482"/>
      <c r="X83" s="482"/>
      <c r="Y83" s="482"/>
      <c r="Z83" s="482"/>
      <c r="AA83" s="482"/>
      <c r="AB83" s="482"/>
      <c r="AC83" s="482"/>
      <c r="AD83" s="482"/>
      <c r="AE83" s="482"/>
      <c r="AF83" s="482"/>
      <c r="AG83" s="482"/>
      <c r="AH83" s="482"/>
      <c r="AI83" s="482"/>
      <c r="AJ83" s="482"/>
      <c r="AK83" s="482"/>
      <c r="AL83" s="482"/>
      <c r="AM83" s="482"/>
      <c r="AN83" s="482"/>
      <c r="AO83" s="482"/>
      <c r="AP83" s="482"/>
      <c r="AQ83" s="482"/>
    </row>
    <row r="84" spans="23:43" x14ac:dyDescent="0.2"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2"/>
      <c r="AI84" s="482"/>
      <c r="AJ84" s="482"/>
      <c r="AK84" s="482"/>
      <c r="AL84" s="482"/>
      <c r="AM84" s="482"/>
      <c r="AN84" s="482"/>
      <c r="AO84" s="482"/>
      <c r="AP84" s="482"/>
      <c r="AQ84" s="482"/>
    </row>
    <row r="85" spans="23:43" x14ac:dyDescent="0.2">
      <c r="W85" s="482"/>
      <c r="X85" s="482"/>
      <c r="Y85" s="482"/>
      <c r="Z85" s="482"/>
      <c r="AA85" s="482"/>
      <c r="AB85" s="482"/>
      <c r="AC85" s="482"/>
      <c r="AD85" s="482"/>
      <c r="AE85" s="482"/>
      <c r="AF85" s="482"/>
      <c r="AG85" s="482"/>
      <c r="AH85" s="482"/>
      <c r="AI85" s="482"/>
      <c r="AJ85" s="482"/>
      <c r="AK85" s="482"/>
      <c r="AL85" s="482"/>
      <c r="AM85" s="482"/>
      <c r="AN85" s="482"/>
      <c r="AO85" s="482"/>
      <c r="AP85" s="482"/>
      <c r="AQ85" s="482"/>
    </row>
    <row r="86" spans="23:43" x14ac:dyDescent="0.2">
      <c r="W86" s="482"/>
      <c r="X86" s="482"/>
      <c r="Y86" s="482"/>
      <c r="Z86" s="482"/>
      <c r="AA86" s="482"/>
      <c r="AB86" s="482"/>
      <c r="AC86" s="482"/>
      <c r="AD86" s="482"/>
      <c r="AE86" s="482"/>
      <c r="AF86" s="482"/>
      <c r="AG86" s="482"/>
      <c r="AH86" s="482"/>
      <c r="AI86" s="482"/>
      <c r="AJ86" s="482"/>
      <c r="AK86" s="482"/>
      <c r="AL86" s="482"/>
      <c r="AM86" s="482"/>
      <c r="AN86" s="482"/>
      <c r="AO86" s="482"/>
      <c r="AP86" s="482"/>
      <c r="AQ86" s="482"/>
    </row>
    <row r="87" spans="23:43" x14ac:dyDescent="0.2"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</row>
    <row r="88" spans="23:43" x14ac:dyDescent="0.2">
      <c r="W88" s="482"/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  <c r="AP88" s="482"/>
      <c r="AQ88" s="482"/>
    </row>
    <row r="89" spans="23:43" x14ac:dyDescent="0.2">
      <c r="W89" s="482"/>
      <c r="X89" s="482"/>
      <c r="Y89" s="482"/>
      <c r="Z89" s="482"/>
      <c r="AA89" s="482"/>
      <c r="AB89" s="482"/>
      <c r="AC89" s="482"/>
      <c r="AD89" s="482"/>
      <c r="AE89" s="482"/>
      <c r="AF89" s="482"/>
      <c r="AG89" s="482"/>
      <c r="AH89" s="482"/>
      <c r="AI89" s="482"/>
      <c r="AJ89" s="482"/>
      <c r="AK89" s="482"/>
      <c r="AL89" s="482"/>
      <c r="AM89" s="482"/>
      <c r="AN89" s="482"/>
      <c r="AO89" s="482"/>
      <c r="AP89" s="482"/>
      <c r="AQ89" s="482"/>
    </row>
    <row r="90" spans="23:43" x14ac:dyDescent="0.2">
      <c r="W90" s="482"/>
      <c r="X90" s="482"/>
      <c r="Y90" s="482"/>
      <c r="Z90" s="482"/>
      <c r="AA90" s="482"/>
      <c r="AB90" s="482"/>
      <c r="AC90" s="482"/>
      <c r="AD90" s="482"/>
      <c r="AE90" s="482"/>
      <c r="AF90" s="482"/>
      <c r="AG90" s="482"/>
      <c r="AH90" s="482"/>
      <c r="AI90" s="482"/>
      <c r="AJ90" s="482"/>
      <c r="AK90" s="482"/>
      <c r="AL90" s="482"/>
      <c r="AM90" s="482"/>
      <c r="AN90" s="482"/>
      <c r="AO90" s="482"/>
      <c r="AP90" s="482"/>
      <c r="AQ90" s="482"/>
    </row>
    <row r="91" spans="23:43" x14ac:dyDescent="0.2">
      <c r="W91" s="482"/>
      <c r="X91" s="482"/>
      <c r="Y91" s="482"/>
      <c r="Z91" s="482"/>
      <c r="AA91" s="482"/>
      <c r="AB91" s="482"/>
      <c r="AC91" s="482"/>
      <c r="AD91" s="482"/>
      <c r="AE91" s="482"/>
      <c r="AF91" s="482"/>
      <c r="AG91" s="482"/>
      <c r="AH91" s="482"/>
      <c r="AI91" s="482"/>
      <c r="AJ91" s="482"/>
      <c r="AK91" s="482"/>
      <c r="AL91" s="482"/>
      <c r="AM91" s="482"/>
      <c r="AN91" s="482"/>
      <c r="AO91" s="482"/>
      <c r="AP91" s="482"/>
      <c r="AQ91" s="482"/>
    </row>
    <row r="92" spans="23:43" x14ac:dyDescent="0.2">
      <c r="W92" s="482"/>
      <c r="X92" s="482"/>
      <c r="Y92" s="482"/>
      <c r="Z92" s="482"/>
      <c r="AA92" s="482"/>
      <c r="AB92" s="482"/>
      <c r="AC92" s="482"/>
      <c r="AD92" s="482"/>
      <c r="AE92" s="482"/>
      <c r="AF92" s="482"/>
      <c r="AG92" s="482"/>
      <c r="AH92" s="482"/>
      <c r="AI92" s="482"/>
      <c r="AJ92" s="482"/>
      <c r="AK92" s="482"/>
      <c r="AL92" s="482"/>
      <c r="AM92" s="482"/>
      <c r="AN92" s="482"/>
      <c r="AO92" s="482"/>
      <c r="AP92" s="482"/>
      <c r="AQ92" s="482"/>
    </row>
    <row r="93" spans="23:43" x14ac:dyDescent="0.2"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  <c r="AM93" s="482"/>
      <c r="AN93" s="482"/>
      <c r="AO93" s="482"/>
      <c r="AP93" s="482"/>
      <c r="AQ93" s="482"/>
    </row>
    <row r="94" spans="23:43" x14ac:dyDescent="0.2">
      <c r="W94" s="482"/>
      <c r="X94" s="482"/>
      <c r="Y94" s="482"/>
      <c r="Z94" s="482"/>
      <c r="AA94" s="482"/>
      <c r="AB94" s="482"/>
      <c r="AC94" s="482"/>
      <c r="AD94" s="482"/>
      <c r="AE94" s="482"/>
      <c r="AF94" s="482"/>
      <c r="AG94" s="482"/>
      <c r="AH94" s="482"/>
      <c r="AI94" s="482"/>
      <c r="AJ94" s="482"/>
      <c r="AK94" s="482"/>
      <c r="AL94" s="482"/>
      <c r="AM94" s="482"/>
      <c r="AN94" s="482"/>
      <c r="AO94" s="482"/>
      <c r="AP94" s="482"/>
      <c r="AQ94" s="482"/>
    </row>
    <row r="95" spans="23:43" x14ac:dyDescent="0.2">
      <c r="W95" s="482"/>
      <c r="X95" s="482"/>
      <c r="Y95" s="482"/>
      <c r="Z95" s="482"/>
      <c r="AA95" s="482"/>
      <c r="AB95" s="482"/>
      <c r="AC95" s="482"/>
      <c r="AD95" s="482"/>
      <c r="AE95" s="482"/>
      <c r="AF95" s="482"/>
      <c r="AG95" s="482"/>
      <c r="AH95" s="482"/>
      <c r="AI95" s="482"/>
      <c r="AJ95" s="482"/>
      <c r="AK95" s="482"/>
      <c r="AL95" s="482"/>
      <c r="AM95" s="482"/>
      <c r="AN95" s="482"/>
      <c r="AO95" s="482"/>
      <c r="AP95" s="482"/>
      <c r="AQ95" s="482"/>
    </row>
    <row r="96" spans="23:43" x14ac:dyDescent="0.2"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</row>
    <row r="97" spans="23:43" x14ac:dyDescent="0.2"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</row>
    <row r="98" spans="23:43" x14ac:dyDescent="0.2"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</row>
    <row r="99" spans="23:43" x14ac:dyDescent="0.2"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</row>
    <row r="100" spans="23:43" x14ac:dyDescent="0.2">
      <c r="W100" s="482"/>
      <c r="X100" s="482"/>
      <c r="Y100" s="482"/>
      <c r="Z100" s="482"/>
      <c r="AA100" s="482"/>
      <c r="AB100" s="482"/>
      <c r="AC100" s="482"/>
      <c r="AD100" s="482"/>
      <c r="AE100" s="482"/>
      <c r="AF100" s="482"/>
      <c r="AG100" s="482"/>
      <c r="AH100" s="482"/>
      <c r="AI100" s="482"/>
      <c r="AJ100" s="482"/>
      <c r="AK100" s="482"/>
      <c r="AL100" s="482"/>
      <c r="AM100" s="482"/>
      <c r="AN100" s="482"/>
      <c r="AO100" s="482"/>
      <c r="AP100" s="482"/>
      <c r="AQ100" s="482"/>
    </row>
    <row r="101" spans="23:43" x14ac:dyDescent="0.2">
      <c r="W101" s="482"/>
      <c r="X101" s="482"/>
      <c r="Y101" s="482"/>
      <c r="Z101" s="482"/>
      <c r="AA101" s="482"/>
      <c r="AB101" s="482"/>
      <c r="AC101" s="482"/>
      <c r="AD101" s="482"/>
      <c r="AE101" s="482"/>
      <c r="AF101" s="482"/>
      <c r="AG101" s="482"/>
      <c r="AH101" s="482"/>
      <c r="AI101" s="482"/>
      <c r="AJ101" s="482"/>
      <c r="AK101" s="482"/>
      <c r="AL101" s="482"/>
      <c r="AM101" s="482"/>
      <c r="AN101" s="482"/>
      <c r="AO101" s="482"/>
      <c r="AP101" s="482"/>
      <c r="AQ101" s="482"/>
    </row>
    <row r="102" spans="23:43" x14ac:dyDescent="0.2"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82"/>
      <c r="AG102" s="482"/>
      <c r="AH102" s="482"/>
      <c r="AI102" s="482"/>
      <c r="AJ102" s="482"/>
      <c r="AK102" s="482"/>
      <c r="AL102" s="482"/>
      <c r="AM102" s="482"/>
      <c r="AN102" s="482"/>
      <c r="AO102" s="482"/>
      <c r="AP102" s="482"/>
      <c r="AQ102" s="482"/>
    </row>
    <row r="103" spans="23:43" x14ac:dyDescent="0.2">
      <c r="W103" s="482"/>
      <c r="X103" s="482"/>
      <c r="Y103" s="482"/>
      <c r="Z103" s="482"/>
      <c r="AA103" s="482"/>
      <c r="AB103" s="482"/>
      <c r="AC103" s="482"/>
      <c r="AD103" s="482"/>
      <c r="AE103" s="482"/>
      <c r="AF103" s="482"/>
      <c r="AG103" s="482"/>
      <c r="AH103" s="482"/>
      <c r="AI103" s="482"/>
      <c r="AJ103" s="482"/>
      <c r="AK103" s="482"/>
      <c r="AL103" s="482"/>
      <c r="AM103" s="482"/>
      <c r="AN103" s="482"/>
      <c r="AO103" s="482"/>
      <c r="AP103" s="482"/>
      <c r="AQ103" s="482"/>
    </row>
    <row r="104" spans="23:43" x14ac:dyDescent="0.2">
      <c r="W104" s="482"/>
      <c r="X104" s="482"/>
      <c r="Y104" s="482"/>
      <c r="Z104" s="482"/>
      <c r="AA104" s="482"/>
      <c r="AB104" s="482"/>
      <c r="AC104" s="482"/>
      <c r="AD104" s="482"/>
      <c r="AE104" s="482"/>
      <c r="AF104" s="482"/>
      <c r="AG104" s="482"/>
      <c r="AH104" s="482"/>
      <c r="AI104" s="482"/>
      <c r="AJ104" s="482"/>
      <c r="AK104" s="482"/>
      <c r="AL104" s="482"/>
      <c r="AM104" s="482"/>
      <c r="AN104" s="482"/>
      <c r="AO104" s="482"/>
      <c r="AP104" s="482"/>
      <c r="AQ104" s="482"/>
    </row>
    <row r="105" spans="23:43" x14ac:dyDescent="0.2">
      <c r="W105" s="482"/>
      <c r="X105" s="482"/>
      <c r="Y105" s="482"/>
      <c r="Z105" s="482"/>
      <c r="AA105" s="482"/>
      <c r="AB105" s="482"/>
      <c r="AC105" s="482"/>
      <c r="AD105" s="482"/>
      <c r="AE105" s="482"/>
      <c r="AF105" s="482"/>
      <c r="AG105" s="482"/>
      <c r="AH105" s="482"/>
      <c r="AI105" s="482"/>
      <c r="AJ105" s="482"/>
      <c r="AK105" s="482"/>
      <c r="AL105" s="482"/>
      <c r="AM105" s="482"/>
      <c r="AN105" s="482"/>
      <c r="AO105" s="482"/>
      <c r="AP105" s="482"/>
      <c r="AQ105" s="482"/>
    </row>
  </sheetData>
  <mergeCells count="3">
    <mergeCell ref="H1:N1"/>
    <mergeCell ref="B24:G24"/>
    <mergeCell ref="I24:N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zoomScaleNormal="100" workbookViewId="0">
      <selection activeCell="S12" sqref="S12"/>
    </sheetView>
  </sheetViews>
  <sheetFormatPr defaultColWidth="8.85546875" defaultRowHeight="12.75" x14ac:dyDescent="0.2"/>
  <cols>
    <col min="1" max="1" width="5.5703125" style="1" customWidth="1"/>
    <col min="2" max="2" width="6.28515625" style="1" customWidth="1"/>
    <col min="3" max="3" width="6.7109375" style="1" customWidth="1"/>
    <col min="4" max="5" width="6.85546875" style="1" customWidth="1"/>
    <col min="6" max="6" width="6.42578125" style="1" customWidth="1"/>
    <col min="7" max="7" width="6.5703125" style="1" customWidth="1"/>
    <col min="8" max="8" width="1.28515625" style="1" customWidth="1"/>
    <col min="9" max="13" width="6.42578125" style="1" customWidth="1"/>
    <col min="14" max="14" width="7" style="1" customWidth="1"/>
    <col min="15" max="15" width="6.5703125" style="1" customWidth="1"/>
    <col min="16" max="16" width="1.140625" style="1" customWidth="1"/>
    <col min="17" max="20" width="7.5703125" style="1" customWidth="1"/>
    <col min="21" max="22" width="6.42578125" style="1" customWidth="1"/>
    <col min="23" max="16384" width="8.85546875" style="1"/>
  </cols>
  <sheetData>
    <row r="1" spans="1:44" ht="19.5" x14ac:dyDescent="0.25">
      <c r="A1" s="75"/>
      <c r="B1" s="44"/>
      <c r="C1" s="44"/>
      <c r="D1" s="45"/>
      <c r="E1" s="45"/>
      <c r="F1" s="45"/>
      <c r="G1" s="44"/>
      <c r="H1" s="708" t="s">
        <v>409</v>
      </c>
      <c r="I1" s="708"/>
      <c r="J1" s="708"/>
      <c r="K1" s="708"/>
      <c r="L1" s="708"/>
      <c r="M1" s="708"/>
      <c r="N1" s="708"/>
      <c r="O1" s="708"/>
      <c r="P1" s="44"/>
      <c r="Q1" s="44"/>
      <c r="R1" s="44"/>
      <c r="S1" s="44"/>
      <c r="T1" s="44"/>
      <c r="U1" s="44"/>
      <c r="V1" s="44"/>
    </row>
    <row r="2" spans="1:44" ht="15" x14ac:dyDescent="0.2">
      <c r="A2" s="48" t="s">
        <v>171</v>
      </c>
      <c r="B2" s="49"/>
      <c r="C2" s="49"/>
      <c r="D2" s="50"/>
      <c r="E2" s="50"/>
      <c r="F2" s="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2"/>
      <c r="S2" s="52"/>
      <c r="T2" s="52"/>
      <c r="U2" s="387" t="s">
        <v>416</v>
      </c>
      <c r="V2" s="386"/>
    </row>
    <row r="3" spans="1:44" ht="3.75" customHeight="1" thickBot="1" x14ac:dyDescent="0.25">
      <c r="A3" s="43"/>
      <c r="B3" s="7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44" ht="14.25" thickTop="1" thickBot="1" x14ac:dyDescent="0.25">
      <c r="A4" s="78" t="s">
        <v>173</v>
      </c>
      <c r="B4" s="705" t="s">
        <v>174</v>
      </c>
      <c r="C4" s="706"/>
      <c r="D4" s="706"/>
      <c r="E4" s="706"/>
      <c r="F4" s="706"/>
      <c r="G4" s="707"/>
      <c r="H4" s="43"/>
      <c r="I4" s="78" t="s">
        <v>173</v>
      </c>
      <c r="J4" s="705" t="s">
        <v>174</v>
      </c>
      <c r="K4" s="706"/>
      <c r="L4" s="706"/>
      <c r="M4" s="706"/>
      <c r="N4" s="706"/>
      <c r="O4" s="707"/>
      <c r="P4" s="43"/>
      <c r="Q4" s="43"/>
      <c r="R4" s="43"/>
      <c r="S4" s="43"/>
      <c r="T4" s="43"/>
      <c r="U4" s="43"/>
      <c r="V4" s="43"/>
    </row>
    <row r="5" spans="1:44" ht="14.25" thickTop="1" thickBot="1" x14ac:dyDescent="0.25">
      <c r="A5" s="78">
        <v>11</v>
      </c>
      <c r="B5" s="82">
        <v>300</v>
      </c>
      <c r="C5" s="79">
        <v>400</v>
      </c>
      <c r="D5" s="80">
        <v>500</v>
      </c>
      <c r="E5" s="80">
        <v>550</v>
      </c>
      <c r="F5" s="80">
        <v>600</v>
      </c>
      <c r="G5" s="81">
        <v>900</v>
      </c>
      <c r="H5" s="43"/>
      <c r="I5" s="78" t="s">
        <v>2</v>
      </c>
      <c r="J5" s="82">
        <v>300</v>
      </c>
      <c r="K5" s="79">
        <v>400</v>
      </c>
      <c r="L5" s="80">
        <v>500</v>
      </c>
      <c r="M5" s="80">
        <v>550</v>
      </c>
      <c r="N5" s="80">
        <v>600</v>
      </c>
      <c r="O5" s="81">
        <v>900</v>
      </c>
      <c r="P5" s="43"/>
      <c r="Q5" s="43"/>
      <c r="R5" s="43"/>
      <c r="S5" s="43"/>
      <c r="T5" s="43"/>
      <c r="U5" s="43"/>
      <c r="V5" s="43"/>
    </row>
    <row r="6" spans="1:44" ht="15.75" thickTop="1" x14ac:dyDescent="0.25">
      <c r="A6" s="83">
        <v>400</v>
      </c>
      <c r="B6" s="276">
        <f>62*(CONSTPC)</f>
        <v>62</v>
      </c>
      <c r="C6" s="277">
        <f>67.01*(CONSTPC)</f>
        <v>67.010000000000005</v>
      </c>
      <c r="D6" s="277">
        <f>67.56*(CONSTPC)</f>
        <v>67.56</v>
      </c>
      <c r="E6" s="277">
        <f>73.71*(CONSTPC)</f>
        <v>73.709999999999994</v>
      </c>
      <c r="F6" s="290">
        <f>79.18*(CONSTPC)</f>
        <v>79.180000000000007</v>
      </c>
      <c r="G6" s="291">
        <f>90.1*(CONSTPC)</f>
        <v>90.1</v>
      </c>
      <c r="H6" s="43"/>
      <c r="I6" s="83">
        <v>400</v>
      </c>
      <c r="J6" s="276">
        <f>76.78*(CONSTPC)</f>
        <v>76.78</v>
      </c>
      <c r="K6" s="277">
        <f>80.56*(CONSTPC)</f>
        <v>80.56</v>
      </c>
      <c r="L6" s="277">
        <f>94.3*(CONSTPC)</f>
        <v>94.3</v>
      </c>
      <c r="M6" s="277">
        <f>98.2*(CONSTPC)</f>
        <v>98.2</v>
      </c>
      <c r="N6" s="277">
        <f>101.08*(CONSTPC)</f>
        <v>101.08</v>
      </c>
      <c r="O6" s="278">
        <f>142.83*(CONSTPC)</f>
        <v>142.83000000000001</v>
      </c>
      <c r="P6" s="43"/>
      <c r="Q6" s="43"/>
      <c r="R6" s="43"/>
      <c r="S6" s="43"/>
      <c r="T6" s="43"/>
      <c r="U6" s="43"/>
      <c r="V6" s="43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</row>
    <row r="7" spans="1:44" ht="15" x14ac:dyDescent="0.25">
      <c r="A7" s="84">
        <v>500</v>
      </c>
      <c r="B7" s="279">
        <f>65.44*(CONSTPC)</f>
        <v>65.44</v>
      </c>
      <c r="C7" s="280">
        <f>70.59*(CONSTPC)</f>
        <v>70.59</v>
      </c>
      <c r="D7" s="280">
        <f>73.21*(CONSTPC)</f>
        <v>73.209999999999994</v>
      </c>
      <c r="E7" s="280">
        <f>77.7*(CONSTPC)</f>
        <v>77.7</v>
      </c>
      <c r="F7" s="288">
        <f>81.18*(CONSTPC)</f>
        <v>81.180000000000007</v>
      </c>
      <c r="G7" s="289">
        <f>99.54*(CONSTPC)</f>
        <v>99.54</v>
      </c>
      <c r="H7" s="43"/>
      <c r="I7" s="84">
        <v>500</v>
      </c>
      <c r="J7" s="279">
        <f>86.76*(CONSTPC)</f>
        <v>86.76</v>
      </c>
      <c r="K7" s="280">
        <f>91.31*(CONSTPC)</f>
        <v>91.31</v>
      </c>
      <c r="L7" s="280">
        <f>107.29*(CONSTPC)</f>
        <v>107.29</v>
      </c>
      <c r="M7" s="280">
        <f>111.29*(CONSTPC)</f>
        <v>111.29</v>
      </c>
      <c r="N7" s="280">
        <f>114.09*(CONSTPC)</f>
        <v>114.09</v>
      </c>
      <c r="O7" s="281">
        <f>161.31*(CONSTPC)</f>
        <v>161.31</v>
      </c>
      <c r="P7" s="43"/>
      <c r="Q7" s="43"/>
      <c r="R7" s="43"/>
      <c r="S7" s="43"/>
      <c r="T7" s="43"/>
      <c r="U7" s="43"/>
      <c r="V7" s="43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</row>
    <row r="8" spans="1:44" ht="15" x14ac:dyDescent="0.25">
      <c r="A8" s="84">
        <v>600</v>
      </c>
      <c r="B8" s="279">
        <f>69.02*(CONSTPC)</f>
        <v>69.02</v>
      </c>
      <c r="C8" s="280">
        <f>75.35*(CONSTPC)</f>
        <v>75.349999999999994</v>
      </c>
      <c r="D8" s="280">
        <f>79.39*(CONSTPC)</f>
        <v>79.39</v>
      </c>
      <c r="E8" s="280">
        <f>83.96*(CONSTPC)</f>
        <v>83.96</v>
      </c>
      <c r="F8" s="288">
        <f>87.4*(CONSTPC)</f>
        <v>87.4</v>
      </c>
      <c r="G8" s="289">
        <f>109.09*(CONSTPC)</f>
        <v>109.09</v>
      </c>
      <c r="H8" s="43"/>
      <c r="I8" s="84">
        <v>600</v>
      </c>
      <c r="J8" s="279">
        <f>94.89*(CONSTPC)</f>
        <v>94.89</v>
      </c>
      <c r="K8" s="280">
        <f>101.68*(CONSTPC)</f>
        <v>101.68</v>
      </c>
      <c r="L8" s="280">
        <f>119.69*(CONSTPC)</f>
        <v>119.69</v>
      </c>
      <c r="M8" s="280">
        <f>124.46*(CONSTPC)</f>
        <v>124.46</v>
      </c>
      <c r="N8" s="280">
        <f>128.05*(CONSTPC)</f>
        <v>128.05000000000001</v>
      </c>
      <c r="O8" s="281">
        <f>180.23*(CONSTPC)</f>
        <v>180.23</v>
      </c>
      <c r="P8" s="43"/>
      <c r="Q8" s="43"/>
      <c r="R8" s="43"/>
      <c r="S8" s="43"/>
      <c r="T8" s="43"/>
      <c r="U8" s="43"/>
      <c r="V8" s="43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</row>
    <row r="9" spans="1:44" ht="15" x14ac:dyDescent="0.25">
      <c r="A9" s="84">
        <v>700</v>
      </c>
      <c r="B9" s="279">
        <f>72.35*(CONSTPC)</f>
        <v>72.349999999999994</v>
      </c>
      <c r="C9" s="280">
        <f>79.73*(CONSTPC)</f>
        <v>79.73</v>
      </c>
      <c r="D9" s="280">
        <f>85.94*(CONSTPC)</f>
        <v>85.94</v>
      </c>
      <c r="E9" s="280">
        <f>90.4*(CONSTPC)</f>
        <v>90.4</v>
      </c>
      <c r="F9" s="288">
        <f>93.67*(CONSTPC)</f>
        <v>93.67</v>
      </c>
      <c r="G9" s="289">
        <f>118.62*(CONSTPC)</f>
        <v>118.62</v>
      </c>
      <c r="H9" s="43"/>
      <c r="I9" s="84">
        <v>700</v>
      </c>
      <c r="J9" s="279">
        <f>103.72*(CONSTPC)</f>
        <v>103.72</v>
      </c>
      <c r="K9" s="280">
        <f>112.66*(CONSTPC)</f>
        <v>112.66</v>
      </c>
      <c r="L9" s="280">
        <f>132.44*(CONSTPC)</f>
        <v>132.44</v>
      </c>
      <c r="M9" s="280">
        <f>138.21*(CONSTPC)</f>
        <v>138.21</v>
      </c>
      <c r="N9" s="280">
        <f>142.22*(CONSTPC)</f>
        <v>142.22</v>
      </c>
      <c r="O9" s="281">
        <f>204.53*(CONSTPC)</f>
        <v>204.53</v>
      </c>
      <c r="P9" s="43"/>
      <c r="Q9" s="43"/>
      <c r="R9" s="43"/>
      <c r="S9" s="43"/>
      <c r="T9" s="43"/>
      <c r="U9" s="43"/>
      <c r="V9" s="43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</row>
    <row r="10" spans="1:44" ht="15" x14ac:dyDescent="0.25">
      <c r="A10" s="84">
        <v>800</v>
      </c>
      <c r="B10" s="279">
        <f>75.35*(CONSTPC)</f>
        <v>75.349999999999994</v>
      </c>
      <c r="C10" s="280">
        <f>83.94*(CONSTPC)</f>
        <v>83.94</v>
      </c>
      <c r="D10" s="280">
        <f>90.96*(CONSTPC)</f>
        <v>90.96</v>
      </c>
      <c r="E10" s="280">
        <f>95.93*(CONSTPC)</f>
        <v>95.93</v>
      </c>
      <c r="F10" s="288">
        <f>99.89*(CONSTPC)</f>
        <v>99.89</v>
      </c>
      <c r="G10" s="289">
        <f>127.78*(CONSTPC)</f>
        <v>127.78</v>
      </c>
      <c r="H10" s="43"/>
      <c r="I10" s="84">
        <v>800</v>
      </c>
      <c r="J10" s="279">
        <f>112.66*(CONSTPC)</f>
        <v>112.66</v>
      </c>
      <c r="K10" s="280">
        <f>123.27*(CONSTPC)</f>
        <v>123.27</v>
      </c>
      <c r="L10" s="280">
        <f>145.8*(CONSTPC)</f>
        <v>145.80000000000001</v>
      </c>
      <c r="M10" s="280">
        <f>152.22*(CONSTPC)</f>
        <v>152.22</v>
      </c>
      <c r="N10" s="280">
        <f>156.51*(CONSTPC)</f>
        <v>156.51</v>
      </c>
      <c r="O10" s="281">
        <f>228.15*(CONSTPC)</f>
        <v>228.15</v>
      </c>
      <c r="P10" s="43"/>
      <c r="Q10" s="43"/>
      <c r="R10" s="43"/>
      <c r="S10" s="43"/>
      <c r="T10" s="43"/>
      <c r="U10" s="43"/>
      <c r="V10" s="43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</row>
    <row r="11" spans="1:44" ht="15" x14ac:dyDescent="0.25">
      <c r="A11" s="84">
        <v>900</v>
      </c>
      <c r="B11" s="279">
        <f>80*(CONSTPC)</f>
        <v>80</v>
      </c>
      <c r="C11" s="280">
        <f>89.54*(CONSTPC)</f>
        <v>89.54</v>
      </c>
      <c r="D11" s="280">
        <f>97.75*(CONSTPC)</f>
        <v>97.75</v>
      </c>
      <c r="E11" s="280">
        <f>102.42*(CONSTPC)</f>
        <v>102.42</v>
      </c>
      <c r="F11" s="288">
        <f>105.85*(CONSTPC)</f>
        <v>105.85</v>
      </c>
      <c r="G11" s="289">
        <f>136.39*(CONSTPC)</f>
        <v>136.38999999999999</v>
      </c>
      <c r="H11" s="43"/>
      <c r="I11" s="84">
        <v>900</v>
      </c>
      <c r="J11" s="279">
        <f>121.46*(CONSTPC)</f>
        <v>121.46</v>
      </c>
      <c r="K11" s="280">
        <f>133.64*(CONSTPC)</f>
        <v>133.63999999999999</v>
      </c>
      <c r="L11" s="280">
        <f>158.9*(CONSTPC)</f>
        <v>158.9</v>
      </c>
      <c r="M11" s="280">
        <f>165.8*(CONSTPC)</f>
        <v>165.8</v>
      </c>
      <c r="N11" s="280">
        <f>171.08*(CONSTPC)</f>
        <v>171.08</v>
      </c>
      <c r="O11" s="281">
        <f>252.24*(CONSTPC)</f>
        <v>252.24</v>
      </c>
      <c r="P11" s="43"/>
      <c r="Q11" s="43"/>
      <c r="R11" s="43"/>
      <c r="S11" s="43"/>
      <c r="T11" s="43"/>
      <c r="U11" s="43"/>
      <c r="V11" s="43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</row>
    <row r="12" spans="1:44" ht="15" x14ac:dyDescent="0.25">
      <c r="A12" s="84">
        <v>1000</v>
      </c>
      <c r="B12" s="279">
        <f>83.94*(CONSTPC)</f>
        <v>83.94</v>
      </c>
      <c r="C12" s="280">
        <f>93.67*(CONSTPC)</f>
        <v>93.67</v>
      </c>
      <c r="D12" s="280">
        <f>104.9*(CONSTPC)</f>
        <v>104.9</v>
      </c>
      <c r="E12" s="280">
        <f>109.37*(CONSTPC)</f>
        <v>109.37</v>
      </c>
      <c r="F12" s="288">
        <f>112.66*(CONSTPC)</f>
        <v>112.66</v>
      </c>
      <c r="G12" s="289">
        <f>148.2*(CONSTPC)</f>
        <v>148.19999999999999</v>
      </c>
      <c r="H12" s="43"/>
      <c r="I12" s="84">
        <v>1000</v>
      </c>
      <c r="J12" s="279">
        <f>130.41*(CONSTPC)</f>
        <v>130.41</v>
      </c>
      <c r="K12" s="280">
        <f>144*(CONSTPC)</f>
        <v>144</v>
      </c>
      <c r="L12" s="280">
        <f>171.28*(CONSTPC)</f>
        <v>171.28</v>
      </c>
      <c r="M12" s="280">
        <f>179.43*(CONSTPC)</f>
        <v>179.43</v>
      </c>
      <c r="N12" s="280">
        <f>185.27*(CONSTPC)</f>
        <v>185.27</v>
      </c>
      <c r="O12" s="281">
        <f>275.98*(CONSTPC)</f>
        <v>275.98</v>
      </c>
      <c r="P12" s="43"/>
      <c r="Q12" s="43"/>
      <c r="R12" s="85" t="s">
        <v>172</v>
      </c>
      <c r="S12" s="644">
        <v>0</v>
      </c>
      <c r="T12" s="43"/>
      <c r="U12" s="43"/>
      <c r="V12" s="43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</row>
    <row r="13" spans="1:44" ht="15" x14ac:dyDescent="0.25">
      <c r="A13" s="84">
        <v>1100</v>
      </c>
      <c r="B13" s="279">
        <f>90.34*(CONSTPC)</f>
        <v>90.34</v>
      </c>
      <c r="C13" s="280">
        <f>101.32*(CONSTPC)</f>
        <v>101.32</v>
      </c>
      <c r="D13" s="280">
        <f>112.32*(CONSTPC)</f>
        <v>112.32</v>
      </c>
      <c r="E13" s="280">
        <f>116.86*(CONSTPC)</f>
        <v>116.86</v>
      </c>
      <c r="F13" s="288">
        <f>120.02*(CONSTPC)</f>
        <v>120.02</v>
      </c>
      <c r="G13" s="289">
        <f>160.09*(CONSTPC)</f>
        <v>160.09</v>
      </c>
      <c r="H13" s="43"/>
      <c r="I13" s="84">
        <v>1100</v>
      </c>
      <c r="J13" s="279">
        <f>138.98*(CONSTPC)</f>
        <v>138.97999999999999</v>
      </c>
      <c r="K13" s="280">
        <f>155.34*(CONSTPC)</f>
        <v>155.34</v>
      </c>
      <c r="L13" s="280">
        <f>184.27*(CONSTPC)</f>
        <v>184.27</v>
      </c>
      <c r="M13" s="280">
        <f>193.14*(CONSTPC)</f>
        <v>193.14</v>
      </c>
      <c r="N13" s="280">
        <f>199.77*(CONSTPC)</f>
        <v>199.77</v>
      </c>
      <c r="O13" s="281">
        <f>300.9*(CONSTPC)</f>
        <v>300.89999999999998</v>
      </c>
      <c r="P13" s="43"/>
      <c r="Q13" s="43"/>
      <c r="R13" s="43"/>
      <c r="S13" s="43"/>
      <c r="T13" s="43"/>
      <c r="U13" s="43"/>
      <c r="V13" s="43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</row>
    <row r="14" spans="1:44" ht="15.75" thickBot="1" x14ac:dyDescent="0.3">
      <c r="A14" s="84">
        <v>1200</v>
      </c>
      <c r="B14" s="279">
        <f>95.13*(CONSTPC)</f>
        <v>95.13</v>
      </c>
      <c r="C14" s="280">
        <f>107.05*(CONSTPC)</f>
        <v>107.05</v>
      </c>
      <c r="D14" s="280">
        <f>119.47*(CONSTPC)</f>
        <v>119.47</v>
      </c>
      <c r="E14" s="280">
        <f>124.65*(CONSTPC)</f>
        <v>124.65</v>
      </c>
      <c r="F14" s="288">
        <f>128.37*(CONSTPC)</f>
        <v>128.37</v>
      </c>
      <c r="G14" s="289">
        <f>171.89*(CONSTPC)</f>
        <v>171.89</v>
      </c>
      <c r="H14" s="43"/>
      <c r="I14" s="84">
        <v>1200</v>
      </c>
      <c r="J14" s="279">
        <f>147.92*(CONSTPC)</f>
        <v>147.91999999999999</v>
      </c>
      <c r="K14" s="280">
        <f>165.71*(CONSTPC)</f>
        <v>165.71</v>
      </c>
      <c r="L14" s="280">
        <f>197.06*(CONSTPC)</f>
        <v>197.06</v>
      </c>
      <c r="M14" s="280">
        <f>206.61*(CONSTPC)</f>
        <v>206.61</v>
      </c>
      <c r="N14" s="280">
        <f>213.36*(CONSTPC)</f>
        <v>213.36</v>
      </c>
      <c r="O14" s="281">
        <f>323.99*(CONSTPC)</f>
        <v>323.99</v>
      </c>
      <c r="P14" s="43"/>
      <c r="V14" s="43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</row>
    <row r="15" spans="1:44" ht="16.5" thickTop="1" thickBot="1" x14ac:dyDescent="0.3">
      <c r="A15" s="84">
        <v>1400</v>
      </c>
      <c r="B15" s="279">
        <f>113.49*(CONSTPC)</f>
        <v>113.49</v>
      </c>
      <c r="C15" s="280">
        <f>127.42*(CONSTPC)</f>
        <v>127.42</v>
      </c>
      <c r="D15" s="280">
        <f>133.97*(CONSTPC)</f>
        <v>133.97</v>
      </c>
      <c r="E15" s="280">
        <f>140.01*(CONSTPC)</f>
        <v>140.01</v>
      </c>
      <c r="F15" s="288">
        <f>144*(CONSTPC)</f>
        <v>144</v>
      </c>
      <c r="G15" s="289">
        <f>196.45*(CONSTPC)</f>
        <v>196.45</v>
      </c>
      <c r="H15" s="43"/>
      <c r="I15" s="84">
        <v>1400</v>
      </c>
      <c r="J15" s="279">
        <f>165.31*(CONSTPC)</f>
        <v>165.31</v>
      </c>
      <c r="K15" s="280">
        <f>186.67*(CONSTPC)</f>
        <v>186.67</v>
      </c>
      <c r="L15" s="280">
        <f>223.19*(CONSTPC)</f>
        <v>223.19</v>
      </c>
      <c r="M15" s="280">
        <f>233.83*(CONSTPC)</f>
        <v>233.83</v>
      </c>
      <c r="N15" s="280">
        <f>242.09*(CONSTPC)</f>
        <v>242.09</v>
      </c>
      <c r="O15" s="281">
        <f>371.92*(CONSTPC)</f>
        <v>371.92</v>
      </c>
      <c r="P15" s="43"/>
      <c r="Q15" s="388" t="s">
        <v>175</v>
      </c>
      <c r="R15" s="87"/>
      <c r="S15" s="87"/>
      <c r="T15" s="87"/>
      <c r="U15" s="391"/>
      <c r="V15" s="88" t="s">
        <v>170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</row>
    <row r="16" spans="1:44" ht="15.75" thickTop="1" x14ac:dyDescent="0.25">
      <c r="A16" s="84">
        <v>1600</v>
      </c>
      <c r="B16" s="279">
        <f>123.02*(CONSTPC)</f>
        <v>123.02</v>
      </c>
      <c r="C16" s="280">
        <f>138.38*(CONSTPC)</f>
        <v>138.38</v>
      </c>
      <c r="D16" s="280">
        <f>148.77*(CONSTPC)</f>
        <v>148.77000000000001</v>
      </c>
      <c r="E16" s="280">
        <f>157.51*(CONSTPC)</f>
        <v>157.51</v>
      </c>
      <c r="F16" s="288">
        <f>164.76*(CONSTPC)</f>
        <v>164.76</v>
      </c>
      <c r="G16" s="289">
        <f>220.77*(CONSTPC)</f>
        <v>220.77</v>
      </c>
      <c r="H16" s="43"/>
      <c r="I16" s="84">
        <v>1600</v>
      </c>
      <c r="J16" s="279">
        <f>182.86*(CONSTPC)</f>
        <v>182.86</v>
      </c>
      <c r="K16" s="280">
        <f>207.78*(CONSTPC)</f>
        <v>207.78</v>
      </c>
      <c r="L16" s="280">
        <f>248.66*(CONSTPC)</f>
        <v>248.66</v>
      </c>
      <c r="M16" s="280">
        <f>261.28*(CONSTPC)</f>
        <v>261.27999999999997</v>
      </c>
      <c r="N16" s="280">
        <f>270.6*(CONSTPC)</f>
        <v>270.60000000000002</v>
      </c>
      <c r="O16" s="281">
        <f>419.96*(CONSTPC)</f>
        <v>419.96</v>
      </c>
      <c r="P16" s="43"/>
      <c r="Q16" s="89" t="s">
        <v>176</v>
      </c>
      <c r="R16" s="90"/>
      <c r="S16" s="90"/>
      <c r="T16" s="90"/>
      <c r="U16" s="203"/>
      <c r="V16" s="295">
        <f>4.37*(CONSTPC)</f>
        <v>4.37</v>
      </c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</row>
    <row r="17" spans="1:44" ht="15" x14ac:dyDescent="0.25">
      <c r="A17" s="84">
        <v>1800</v>
      </c>
      <c r="B17" s="279">
        <f>136.59*(CONSTPC)</f>
        <v>136.59</v>
      </c>
      <c r="C17" s="280">
        <f>154.16*(CONSTPC)</f>
        <v>154.16</v>
      </c>
      <c r="D17" s="280">
        <f>163.3*(CONSTPC)</f>
        <v>163.30000000000001</v>
      </c>
      <c r="E17" s="280">
        <f>174.87*(CONSTPC)</f>
        <v>174.87</v>
      </c>
      <c r="F17" s="288">
        <f>184.27*(CONSTPC)</f>
        <v>184.27</v>
      </c>
      <c r="G17" s="289">
        <f>246.27*(CONSTPC)</f>
        <v>246.27</v>
      </c>
      <c r="H17" s="43"/>
      <c r="I17" s="84">
        <v>1800</v>
      </c>
      <c r="J17" s="279">
        <f>200.38*(CONSTPC)</f>
        <v>200.38</v>
      </c>
      <c r="K17" s="280">
        <f>229.38*(CONSTPC)</f>
        <v>229.38</v>
      </c>
      <c r="L17" s="280">
        <f>274.41*(CONSTPC)</f>
        <v>274.41000000000003</v>
      </c>
      <c r="M17" s="280">
        <f>288.5*(CONSTPC)</f>
        <v>288.5</v>
      </c>
      <c r="N17" s="280">
        <f>299.06*(CONSTPC)</f>
        <v>299.06</v>
      </c>
      <c r="O17" s="281">
        <f>467.4*(CONSTPC)</f>
        <v>467.4</v>
      </c>
      <c r="P17" s="43"/>
      <c r="Q17" s="92" t="s">
        <v>177</v>
      </c>
      <c r="R17" s="90"/>
      <c r="S17" s="90"/>
      <c r="T17" s="90"/>
      <c r="U17" s="203"/>
      <c r="V17" s="296">
        <f>30.33*(CONSTPC)</f>
        <v>30.33</v>
      </c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</row>
    <row r="18" spans="1:44" ht="15" x14ac:dyDescent="0.25">
      <c r="A18" s="84">
        <v>2000</v>
      </c>
      <c r="B18" s="279">
        <f>146.13*(CONSTPC)</f>
        <v>146.13</v>
      </c>
      <c r="C18" s="280">
        <f>165.12*(CONSTPC)</f>
        <v>165.12</v>
      </c>
      <c r="D18" s="280">
        <f>178.7*(CONSTPC)</f>
        <v>178.7</v>
      </c>
      <c r="E18" s="280">
        <f>189.65*(CONSTPC)</f>
        <v>189.65</v>
      </c>
      <c r="F18" s="288">
        <f>198.84*(CONSTPC)</f>
        <v>198.84</v>
      </c>
      <c r="G18" s="289">
        <f>270*(CONSTPC)</f>
        <v>270</v>
      </c>
      <c r="H18" s="43"/>
      <c r="I18" s="84">
        <v>2000</v>
      </c>
      <c r="J18" s="279">
        <f>217.57*(CONSTPC)</f>
        <v>217.57</v>
      </c>
      <c r="K18" s="280">
        <f>250.07*(CONSTPC)</f>
        <v>250.07</v>
      </c>
      <c r="L18" s="280">
        <f>299.89*(CONSTPC)</f>
        <v>299.89</v>
      </c>
      <c r="M18" s="280">
        <f>315.79*(CONSTPC)</f>
        <v>315.79000000000002</v>
      </c>
      <c r="N18" s="280">
        <f>327.79*(CONSTPC)</f>
        <v>327.79</v>
      </c>
      <c r="O18" s="281">
        <f>516.26*(CONSTPC)</f>
        <v>516.26</v>
      </c>
      <c r="P18" s="43"/>
      <c r="Q18" s="89" t="s">
        <v>178</v>
      </c>
      <c r="R18" s="90"/>
      <c r="S18" s="90"/>
      <c r="T18" s="90"/>
      <c r="U18" s="203"/>
      <c r="V18" s="296">
        <f>22.08*(CONSTPC)</f>
        <v>22.08</v>
      </c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</row>
    <row r="19" spans="1:44" ht="15" x14ac:dyDescent="0.25">
      <c r="A19" s="84">
        <v>2300</v>
      </c>
      <c r="B19" s="279">
        <f>162.36*(CONSTPC)</f>
        <v>162.36000000000001</v>
      </c>
      <c r="C19" s="280">
        <f>184.27*(CONSTPC)</f>
        <v>184.27</v>
      </c>
      <c r="D19" s="280">
        <f>200.38*(CONSTPC)</f>
        <v>200.38</v>
      </c>
      <c r="E19" s="280">
        <f>213.17*(CONSTPC)</f>
        <v>213.17</v>
      </c>
      <c r="F19" s="288">
        <f>223.52*(CONSTPC)</f>
        <v>223.52</v>
      </c>
      <c r="G19" s="289">
        <f>299.34*(CONSTPC)</f>
        <v>299.33999999999997</v>
      </c>
      <c r="H19" s="43"/>
      <c r="I19" s="84">
        <v>2300</v>
      </c>
      <c r="J19" s="279">
        <f>244.26*(CONSTPC)</f>
        <v>244.26</v>
      </c>
      <c r="K19" s="280">
        <f>282.15*(CONSTPC)</f>
        <v>282.14999999999998</v>
      </c>
      <c r="L19" s="280">
        <f>339.37*(CONSTPC)</f>
        <v>339.37</v>
      </c>
      <c r="M19" s="280">
        <f>357.18*(CONSTPC)</f>
        <v>357.18</v>
      </c>
      <c r="N19" s="280">
        <f>370.47*(CONSTPC)</f>
        <v>370.47</v>
      </c>
      <c r="O19" s="281">
        <f>583.05*(CONSTPC)</f>
        <v>583.04999999999995</v>
      </c>
      <c r="P19" s="43"/>
      <c r="Q19" s="89" t="s">
        <v>179</v>
      </c>
      <c r="R19" s="90"/>
      <c r="S19" s="90"/>
      <c r="T19" s="90"/>
      <c r="U19" s="203"/>
      <c r="V19" s="296">
        <f>1.86*(CONSTPC)</f>
        <v>1.86</v>
      </c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</row>
    <row r="20" spans="1:44" ht="15" x14ac:dyDescent="0.25">
      <c r="A20" s="84">
        <v>2600</v>
      </c>
      <c r="B20" s="279">
        <f>176.07*(CONSTPC)</f>
        <v>176.07</v>
      </c>
      <c r="C20" s="280">
        <f>203.59*(CONSTPC)</f>
        <v>203.59</v>
      </c>
      <c r="D20" s="280">
        <f>223.19*(CONSTPC)</f>
        <v>223.19</v>
      </c>
      <c r="E20" s="280">
        <f>239.24*(CONSTPC)</f>
        <v>239.24</v>
      </c>
      <c r="F20" s="288">
        <f>252.47*(CONSTPC)</f>
        <v>252.47</v>
      </c>
      <c r="G20" s="289">
        <f>332.82*(CONSTPC)</f>
        <v>332.82</v>
      </c>
      <c r="H20" s="43"/>
      <c r="I20" s="84">
        <v>2600</v>
      </c>
      <c r="J20" s="279">
        <f>270.6*(CONSTPC)</f>
        <v>270.60000000000002</v>
      </c>
      <c r="K20" s="280">
        <f>313.86*(CONSTPC)</f>
        <v>313.86</v>
      </c>
      <c r="L20" s="280">
        <f>377.88*(CONSTPC)</f>
        <v>377.88</v>
      </c>
      <c r="M20" s="280">
        <f>398.21*(CONSTPC)</f>
        <v>398.21</v>
      </c>
      <c r="N20" s="280">
        <f>413.77*(CONSTPC)</f>
        <v>413.77</v>
      </c>
      <c r="O20" s="281">
        <f>648.22*(CONSTPC)</f>
        <v>648.22</v>
      </c>
      <c r="P20" s="43"/>
      <c r="Q20" s="89" t="s">
        <v>180</v>
      </c>
      <c r="R20" s="90"/>
      <c r="S20" s="90"/>
      <c r="T20" s="90"/>
      <c r="U20" s="203"/>
      <c r="V20" s="296">
        <f>8.25*(CONSTPC)</f>
        <v>8.25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</row>
    <row r="21" spans="1:44" ht="15.75" thickBot="1" x14ac:dyDescent="0.3">
      <c r="A21" s="86">
        <v>3000</v>
      </c>
      <c r="B21" s="282">
        <f>201.82*(CONSTPC)</f>
        <v>201.82</v>
      </c>
      <c r="C21" s="283">
        <f>230.32*(CONSTPC)</f>
        <v>230.32</v>
      </c>
      <c r="D21" s="283">
        <f>252.85*(CONSTPC)</f>
        <v>252.85</v>
      </c>
      <c r="E21" s="283">
        <f>268.92*(CONSTPC)</f>
        <v>268.92</v>
      </c>
      <c r="F21" s="292">
        <f>281.81*(CONSTPC)</f>
        <v>281.81</v>
      </c>
      <c r="G21" s="293">
        <f>376.67*(CONSTPC)</f>
        <v>376.67</v>
      </c>
      <c r="H21" s="43"/>
      <c r="I21" s="86">
        <v>3000</v>
      </c>
      <c r="J21" s="282">
        <f>305.53*(CONSTPC)</f>
        <v>305.52999999999997</v>
      </c>
      <c r="K21" s="283">
        <f>356.54*(CONSTPC)</f>
        <v>356.54</v>
      </c>
      <c r="L21" s="283">
        <f>429.13*(CONSTPC)</f>
        <v>429.13</v>
      </c>
      <c r="M21" s="283">
        <f>452.76*(CONSTPC)</f>
        <v>452.76</v>
      </c>
      <c r="N21" s="283">
        <f>470.61*(CONSTPC)</f>
        <v>470.61</v>
      </c>
      <c r="O21" s="284">
        <f>736.2*(CONSTPC)</f>
        <v>736.2</v>
      </c>
      <c r="P21" s="43"/>
      <c r="Q21" s="94" t="s">
        <v>181</v>
      </c>
      <c r="R21" s="95"/>
      <c r="S21" s="95"/>
      <c r="T21" s="95"/>
      <c r="U21" s="177"/>
      <c r="V21" s="297">
        <f>9.14*(CONSTPC)</f>
        <v>9.14</v>
      </c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</row>
    <row r="22" spans="1:44" ht="14.25" thickTop="1" thickBot="1" x14ac:dyDescent="0.25">
      <c r="A22" s="4">
        <f>(1-S12)</f>
        <v>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</row>
    <row r="23" spans="1:44" ht="14.25" thickTop="1" thickBot="1" x14ac:dyDescent="0.25">
      <c r="A23" s="78" t="s">
        <v>173</v>
      </c>
      <c r="B23" s="705" t="s">
        <v>174</v>
      </c>
      <c r="C23" s="710"/>
      <c r="D23" s="710"/>
      <c r="E23" s="710"/>
      <c r="F23" s="710"/>
      <c r="G23" s="711"/>
      <c r="H23" s="43"/>
      <c r="I23" s="78" t="s">
        <v>173</v>
      </c>
      <c r="J23" s="705" t="s">
        <v>174</v>
      </c>
      <c r="K23" s="706"/>
      <c r="L23" s="706"/>
      <c r="M23" s="706"/>
      <c r="N23" s="706"/>
      <c r="O23" s="707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</row>
    <row r="24" spans="1:44" ht="14.25" thickTop="1" thickBot="1" x14ac:dyDescent="0.25">
      <c r="A24" s="78">
        <v>22</v>
      </c>
      <c r="B24" s="82">
        <v>300</v>
      </c>
      <c r="C24" s="79">
        <v>400</v>
      </c>
      <c r="D24" s="80">
        <v>500</v>
      </c>
      <c r="E24" s="80">
        <v>550</v>
      </c>
      <c r="F24" s="80">
        <v>600</v>
      </c>
      <c r="G24" s="81">
        <v>900</v>
      </c>
      <c r="H24" s="43"/>
      <c r="I24" s="78">
        <v>33</v>
      </c>
      <c r="J24" s="82">
        <v>300</v>
      </c>
      <c r="K24" s="79">
        <v>400</v>
      </c>
      <c r="L24" s="80">
        <v>500</v>
      </c>
      <c r="M24" s="80">
        <v>550</v>
      </c>
      <c r="N24" s="80">
        <v>600</v>
      </c>
      <c r="O24" s="81">
        <v>900</v>
      </c>
      <c r="Q24" s="629" t="s">
        <v>182</v>
      </c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</row>
    <row r="25" spans="1:44" ht="15.75" thickTop="1" x14ac:dyDescent="0.25">
      <c r="A25" s="83">
        <v>400</v>
      </c>
      <c r="B25" s="276">
        <f>77.61*(CONSTPC)</f>
        <v>77.61</v>
      </c>
      <c r="C25" s="277">
        <f>85.91*(CONSTPC)</f>
        <v>85.91</v>
      </c>
      <c r="D25" s="277">
        <f>101.32*(CONSTPC)</f>
        <v>101.32</v>
      </c>
      <c r="E25" s="277">
        <f>105.07*(CONSTPC)</f>
        <v>105.07</v>
      </c>
      <c r="F25" s="285">
        <f>108.23*(CONSTPC)</f>
        <v>108.23</v>
      </c>
      <c r="G25" s="278">
        <f>153.18*(CONSTPC)</f>
        <v>153.18</v>
      </c>
      <c r="H25" s="43"/>
      <c r="I25" s="83">
        <v>400</v>
      </c>
      <c r="J25" s="276">
        <f>160.91*(CONSTPC)</f>
        <v>160.91</v>
      </c>
      <c r="K25" s="277">
        <f>169.52*(CONSTPC)</f>
        <v>169.52</v>
      </c>
      <c r="L25" s="277">
        <f>193.81*(CONSTPC)</f>
        <v>193.81</v>
      </c>
      <c r="M25" s="277">
        <f>200.82*(CONSTPC)</f>
        <v>200.82</v>
      </c>
      <c r="N25" s="277">
        <f>205.39*(CONSTPC)</f>
        <v>205.39</v>
      </c>
      <c r="O25" s="278">
        <f>213.36*(CONSTPC)</f>
        <v>213.36</v>
      </c>
      <c r="Q25" s="40" t="s">
        <v>183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</row>
    <row r="26" spans="1:44" ht="15" x14ac:dyDescent="0.25">
      <c r="A26" s="84">
        <v>500</v>
      </c>
      <c r="B26" s="279">
        <f>90.1*(CONSTPC)</f>
        <v>90.1</v>
      </c>
      <c r="C26" s="280">
        <f>97.75*(CONSTPC)</f>
        <v>97.75</v>
      </c>
      <c r="D26" s="280">
        <f>114.43*(CONSTPC)</f>
        <v>114.43</v>
      </c>
      <c r="E26" s="280">
        <f>119.39*(CONSTPC)</f>
        <v>119.39</v>
      </c>
      <c r="F26" s="286">
        <f>122.64*(CONSTPC)</f>
        <v>122.64</v>
      </c>
      <c r="G26" s="281">
        <f>172.85*(CONSTPC)</f>
        <v>172.85</v>
      </c>
      <c r="H26" s="43"/>
      <c r="I26" s="84">
        <v>500</v>
      </c>
      <c r="J26" s="279">
        <f>171.67*(CONSTPC)</f>
        <v>171.67</v>
      </c>
      <c r="K26" s="280">
        <f>181.68*(CONSTPC)</f>
        <v>181.68</v>
      </c>
      <c r="L26" s="280">
        <f>209.24*(CONSTPC)</f>
        <v>209.24</v>
      </c>
      <c r="M26" s="280">
        <f>216.63*(CONSTPC)</f>
        <v>216.63</v>
      </c>
      <c r="N26" s="280">
        <f>221.97*(CONSTPC)</f>
        <v>221.97</v>
      </c>
      <c r="O26" s="281">
        <f>242.09*(CONSTPC)</f>
        <v>242.09</v>
      </c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</row>
    <row r="27" spans="1:44" ht="15" x14ac:dyDescent="0.25">
      <c r="A27" s="84">
        <v>600</v>
      </c>
      <c r="B27" s="279">
        <f>100.74*(CONSTPC)</f>
        <v>100.74</v>
      </c>
      <c r="C27" s="280">
        <f>109.09*(CONSTPC)</f>
        <v>109.09</v>
      </c>
      <c r="D27" s="280">
        <f>128.37*(CONSTPC)</f>
        <v>128.37</v>
      </c>
      <c r="E27" s="280">
        <f>133.52*(CONSTPC)</f>
        <v>133.52000000000001</v>
      </c>
      <c r="F27" s="286">
        <f>136.97*(CONSTPC)</f>
        <v>136.97</v>
      </c>
      <c r="G27" s="281">
        <f>192.99*(CONSTPC)</f>
        <v>192.99</v>
      </c>
      <c r="H27" s="43"/>
      <c r="I27" s="84">
        <v>600</v>
      </c>
      <c r="J27" s="279">
        <f>183.2*(CONSTPC)</f>
        <v>183.2</v>
      </c>
      <c r="K27" s="280">
        <f>194.44*(CONSTPC)</f>
        <v>194.44</v>
      </c>
      <c r="L27" s="280">
        <f>225.31*(CONSTPC)</f>
        <v>225.31</v>
      </c>
      <c r="M27" s="280">
        <f>233.87*(CONSTPC)</f>
        <v>233.87</v>
      </c>
      <c r="N27" s="280">
        <f>239.73*(CONSTPC)</f>
        <v>239.73</v>
      </c>
      <c r="O27" s="281">
        <f>274.8*(CONSTPC)</f>
        <v>274.8</v>
      </c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</row>
    <row r="28" spans="1:44" ht="15" x14ac:dyDescent="0.25">
      <c r="A28" s="84">
        <v>700</v>
      </c>
      <c r="B28" s="279">
        <f>110.28*(CONSTPC)</f>
        <v>110.28</v>
      </c>
      <c r="C28" s="280">
        <f>120.29*(CONSTPC)</f>
        <v>120.29</v>
      </c>
      <c r="D28" s="280">
        <f>141.98*(CONSTPC)</f>
        <v>141.97999999999999</v>
      </c>
      <c r="E28" s="280">
        <f>147.88*(CONSTPC)</f>
        <v>147.88</v>
      </c>
      <c r="F28" s="286">
        <f>152.32*(CONSTPC)</f>
        <v>152.32</v>
      </c>
      <c r="G28" s="281">
        <f>218.98*(CONSTPC)</f>
        <v>218.98</v>
      </c>
      <c r="H28" s="43"/>
      <c r="I28" s="84">
        <v>700</v>
      </c>
      <c r="J28" s="279">
        <f>195.27*(CONSTPC)</f>
        <v>195.27</v>
      </c>
      <c r="K28" s="280">
        <f>208.96*(CONSTPC)</f>
        <v>208.96</v>
      </c>
      <c r="L28" s="280">
        <f>242.49*(CONSTPC)</f>
        <v>242.49</v>
      </c>
      <c r="M28" s="280">
        <f>252.18*(CONSTPC)</f>
        <v>252.18</v>
      </c>
      <c r="N28" s="280">
        <f>258.79*(CONSTPC)</f>
        <v>258.79000000000002</v>
      </c>
      <c r="O28" s="281">
        <f>311.5*(CONSTPC)</f>
        <v>311.5</v>
      </c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</row>
    <row r="29" spans="1:44" ht="15" x14ac:dyDescent="0.25">
      <c r="A29" s="84">
        <v>800</v>
      </c>
      <c r="B29" s="279">
        <f>119.69*(CONSTPC)</f>
        <v>119.69</v>
      </c>
      <c r="C29" s="280">
        <f>131.24*(CONSTPC)</f>
        <v>131.24</v>
      </c>
      <c r="D29" s="280">
        <f>155.57*(CONSTPC)</f>
        <v>155.57</v>
      </c>
      <c r="E29" s="280">
        <f>162.69*(CONSTPC)</f>
        <v>162.69</v>
      </c>
      <c r="F29" s="286">
        <f>168.06*(CONSTPC)</f>
        <v>168.06</v>
      </c>
      <c r="G29" s="281">
        <f>244.26*(CONSTPC)</f>
        <v>244.26</v>
      </c>
      <c r="H29" s="43"/>
      <c r="I29" s="84">
        <v>800</v>
      </c>
      <c r="J29" s="279">
        <f>208.02*(CONSTPC)</f>
        <v>208.02</v>
      </c>
      <c r="K29" s="280">
        <f>223.52*(CONSTPC)</f>
        <v>223.52</v>
      </c>
      <c r="L29" s="280">
        <f>261.68*(CONSTPC)</f>
        <v>261.68</v>
      </c>
      <c r="M29" s="280">
        <f>272.15*(CONSTPC)</f>
        <v>272.14999999999998</v>
      </c>
      <c r="N29" s="280">
        <f>279.53*(CONSTPC)</f>
        <v>279.52999999999997</v>
      </c>
      <c r="O29" s="281">
        <f>352.35*(CONSTPC)</f>
        <v>352.35</v>
      </c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</row>
    <row r="30" spans="1:44" ht="15" x14ac:dyDescent="0.25">
      <c r="A30" s="84">
        <v>900</v>
      </c>
      <c r="B30" s="279">
        <f>129.24*(CONSTPC)</f>
        <v>129.24</v>
      </c>
      <c r="C30" s="280">
        <f>142.83*(CONSTPC)</f>
        <v>142.83000000000001</v>
      </c>
      <c r="D30" s="280">
        <f>169.89*(CONSTPC)</f>
        <v>169.89</v>
      </c>
      <c r="E30" s="280">
        <f>177.36*(CONSTPC)</f>
        <v>177.36</v>
      </c>
      <c r="F30" s="286">
        <f>183.2*(CONSTPC)</f>
        <v>183.2</v>
      </c>
      <c r="G30" s="281">
        <f>270*(CONSTPC)</f>
        <v>270</v>
      </c>
      <c r="H30" s="43"/>
      <c r="I30" s="84">
        <v>900</v>
      </c>
      <c r="J30" s="279">
        <f>221.34*(CONSTPC)</f>
        <v>221.34</v>
      </c>
      <c r="K30" s="280">
        <f>240.1*(CONSTPC)</f>
        <v>240.1</v>
      </c>
      <c r="L30" s="280">
        <f>281.55*(CONSTPC)</f>
        <v>281.55</v>
      </c>
      <c r="M30" s="280">
        <f>293.49*(CONSTPC)</f>
        <v>293.49</v>
      </c>
      <c r="N30" s="280">
        <f>301.7*(CONSTPC)</f>
        <v>301.7</v>
      </c>
      <c r="O30" s="281">
        <f>377.62*(CONSTPC)</f>
        <v>377.62</v>
      </c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</row>
    <row r="31" spans="1:44" ht="15" x14ac:dyDescent="0.25">
      <c r="A31" s="84">
        <v>1000</v>
      </c>
      <c r="B31" s="279">
        <f>138.38*(CONSTPC)</f>
        <v>138.38</v>
      </c>
      <c r="C31" s="280">
        <f>153.78*(CONSTPC)</f>
        <v>153.78</v>
      </c>
      <c r="D31" s="280">
        <f>183.2*(CONSTPC)</f>
        <v>183.2</v>
      </c>
      <c r="E31" s="280">
        <f>192.02*(CONSTPC)</f>
        <v>192.02</v>
      </c>
      <c r="F31" s="286">
        <f>198.84*(CONSTPC)</f>
        <v>198.84</v>
      </c>
      <c r="G31" s="281">
        <f>296.12*(CONSTPC)</f>
        <v>296.12</v>
      </c>
      <c r="H31" s="43"/>
      <c r="I31" s="84">
        <v>1000</v>
      </c>
      <c r="J31" s="279">
        <f>234.46*(CONSTPC)</f>
        <v>234.46</v>
      </c>
      <c r="K31" s="280">
        <f>256.04*(CONSTPC)</f>
        <v>256.04000000000002</v>
      </c>
      <c r="L31" s="280">
        <f>301.1*(CONSTPC)</f>
        <v>301.10000000000002</v>
      </c>
      <c r="M31" s="280">
        <f>314.11*(CONSTPC)</f>
        <v>314.11</v>
      </c>
      <c r="N31" s="280">
        <f>323.39*(CONSTPC)</f>
        <v>323.39</v>
      </c>
      <c r="O31" s="281">
        <f>404.57*(CONSTPC)</f>
        <v>404.57</v>
      </c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</row>
    <row r="32" spans="1:44" ht="15" x14ac:dyDescent="0.25">
      <c r="A32" s="84">
        <v>1100</v>
      </c>
      <c r="B32" s="279">
        <f>147.92*(CONSTPC)</f>
        <v>147.91999999999999</v>
      </c>
      <c r="C32" s="280">
        <f>165.71*(CONSTPC)</f>
        <v>165.71</v>
      </c>
      <c r="D32" s="280">
        <f>197.06*(CONSTPC)</f>
        <v>197.06</v>
      </c>
      <c r="E32" s="280">
        <f>206.35*(CONSTPC)</f>
        <v>206.35</v>
      </c>
      <c r="F32" s="286">
        <f>213.12*(CONSTPC)</f>
        <v>213.12</v>
      </c>
      <c r="G32" s="281">
        <f>321.28*(CONSTPC)</f>
        <v>321.27999999999997</v>
      </c>
      <c r="H32" s="43"/>
      <c r="I32" s="84">
        <v>1100</v>
      </c>
      <c r="J32" s="279">
        <f>247.44*(CONSTPC)</f>
        <v>247.44</v>
      </c>
      <c r="K32" s="280">
        <f>272.4*(CONSTPC)</f>
        <v>272.39999999999998</v>
      </c>
      <c r="L32" s="280">
        <f>321.28*(CONSTPC)</f>
        <v>321.27999999999997</v>
      </c>
      <c r="M32" s="280">
        <f>335.41*(CONSTPC)</f>
        <v>335.41</v>
      </c>
      <c r="N32" s="280">
        <f>345.58*(CONSTPC)</f>
        <v>345.58</v>
      </c>
      <c r="O32" s="281">
        <f>433.31*(CONSTPC)</f>
        <v>433.31</v>
      </c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</row>
    <row r="33" spans="1:44" ht="15" x14ac:dyDescent="0.25">
      <c r="A33" s="84">
        <v>1200</v>
      </c>
      <c r="B33" s="279">
        <f>156.51*(CONSTPC)</f>
        <v>156.51</v>
      </c>
      <c r="C33" s="280">
        <f>176.92*(CONSTPC)</f>
        <v>176.92</v>
      </c>
      <c r="D33" s="280">
        <f>211*(CONSTPC)</f>
        <v>211</v>
      </c>
      <c r="E33" s="280">
        <f>221.23*(CONSTPC)</f>
        <v>221.23</v>
      </c>
      <c r="F33" s="286">
        <f>229.1*(CONSTPC)</f>
        <v>229.1</v>
      </c>
      <c r="G33" s="281">
        <f>347*(CONSTPC)</f>
        <v>347</v>
      </c>
      <c r="H33" s="43"/>
      <c r="I33" s="84">
        <v>1200</v>
      </c>
      <c r="J33" s="279">
        <f>260.83*(CONSTPC)</f>
        <v>260.83</v>
      </c>
      <c r="K33" s="280">
        <f>288.35*(CONSTPC)</f>
        <v>288.35000000000002</v>
      </c>
      <c r="L33" s="280">
        <f>341.18*(CONSTPC)</f>
        <v>341.18</v>
      </c>
      <c r="M33" s="280">
        <f>356.6*(CONSTPC)</f>
        <v>356.6</v>
      </c>
      <c r="N33" s="280">
        <f>367.84*(CONSTPC)</f>
        <v>367.84</v>
      </c>
      <c r="O33" s="281">
        <f>464.4*(CONSTPC)</f>
        <v>464.4</v>
      </c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</row>
    <row r="34" spans="1:44" ht="15" x14ac:dyDescent="0.25">
      <c r="A34" s="84">
        <v>1400</v>
      </c>
      <c r="B34" s="279">
        <f>175.48*(CONSTPC)</f>
        <v>175.48</v>
      </c>
      <c r="C34" s="280">
        <f>199.77*(CONSTPC)</f>
        <v>199.77</v>
      </c>
      <c r="D34" s="280">
        <f>238.54*(CONSTPC)</f>
        <v>238.54</v>
      </c>
      <c r="E34" s="280">
        <f>250.72*(CONSTPC)</f>
        <v>250.72</v>
      </c>
      <c r="F34" s="286">
        <f>259.61*(CONSTPC)</f>
        <v>259.61</v>
      </c>
      <c r="G34" s="281">
        <f>398.38*(CONSTPC)</f>
        <v>398.38</v>
      </c>
      <c r="H34" s="43"/>
      <c r="I34" s="84">
        <v>1400</v>
      </c>
      <c r="J34" s="279">
        <f>287.17*(CONSTPC)</f>
        <v>287.17</v>
      </c>
      <c r="K34" s="280">
        <f>321.28*(CONSTPC)</f>
        <v>321.27999999999997</v>
      </c>
      <c r="L34" s="280">
        <f>380.24*(CONSTPC)</f>
        <v>380.24</v>
      </c>
      <c r="M34" s="280">
        <f>398.63*(CONSTPC)</f>
        <v>398.63</v>
      </c>
      <c r="N34" s="280">
        <f>411.61*(CONSTPC)</f>
        <v>411.61</v>
      </c>
      <c r="O34" s="281">
        <f>518.05*(CONSTPC)</f>
        <v>518.04999999999995</v>
      </c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</row>
    <row r="35" spans="1:44" ht="15" x14ac:dyDescent="0.25">
      <c r="A35" s="84">
        <v>1600</v>
      </c>
      <c r="B35" s="279">
        <f>194.17*(CONSTPC)</f>
        <v>194.17</v>
      </c>
      <c r="C35" s="280">
        <f>221.97*(CONSTPC)</f>
        <v>221.97</v>
      </c>
      <c r="D35" s="280">
        <f>266.2*(CONSTPC)</f>
        <v>266.2</v>
      </c>
      <c r="E35" s="280">
        <f>279.82*(CONSTPC)</f>
        <v>279.82</v>
      </c>
      <c r="F35" s="286">
        <f>290.15*(CONSTPC)</f>
        <v>290.14999999999998</v>
      </c>
      <c r="G35" s="281">
        <f>449.65*(CONSTPC)</f>
        <v>449.65</v>
      </c>
      <c r="H35" s="43"/>
      <c r="I35" s="84">
        <v>1600</v>
      </c>
      <c r="J35" s="279">
        <f>313.63*(CONSTPC)</f>
        <v>313.63</v>
      </c>
      <c r="K35" s="280">
        <f>353.34*(CONSTPC)</f>
        <v>353.34</v>
      </c>
      <c r="L35" s="280">
        <f>420.3*(CONSTPC)</f>
        <v>420.3</v>
      </c>
      <c r="M35" s="280">
        <f>440.83*(CONSTPC)</f>
        <v>440.83</v>
      </c>
      <c r="N35" s="280">
        <f>455.85*(CONSTPC)</f>
        <v>455.85</v>
      </c>
      <c r="O35" s="281">
        <f>570.48*(CONSTPC)</f>
        <v>570.48</v>
      </c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</row>
    <row r="36" spans="1:44" ht="15" x14ac:dyDescent="0.25">
      <c r="A36" s="84">
        <v>1800</v>
      </c>
      <c r="B36" s="279">
        <f>212.54*(CONSTPC)</f>
        <v>212.54</v>
      </c>
      <c r="C36" s="280">
        <f>244.84*(CONSTPC)</f>
        <v>244.84</v>
      </c>
      <c r="D36" s="280">
        <f>293.72*(CONSTPC)</f>
        <v>293.72000000000003</v>
      </c>
      <c r="E36" s="280">
        <f>309.12*(CONSTPC)</f>
        <v>309.12</v>
      </c>
      <c r="F36" s="286">
        <f>321.28*(CONSTPC)</f>
        <v>321.27999999999997</v>
      </c>
      <c r="G36" s="281">
        <f>501.15*(CONSTPC)</f>
        <v>501.15</v>
      </c>
      <c r="H36" s="43"/>
      <c r="I36" s="84">
        <v>1800</v>
      </c>
      <c r="J36" s="279">
        <f>332*(CONSTPC)</f>
        <v>332</v>
      </c>
      <c r="K36" s="280">
        <f>385.86*(CONSTPC)</f>
        <v>385.86</v>
      </c>
      <c r="L36" s="280">
        <f>460.24*(CONSTPC)</f>
        <v>460.24</v>
      </c>
      <c r="M36" s="280">
        <f>483.02*(CONSTPC)</f>
        <v>483.02</v>
      </c>
      <c r="N36" s="280">
        <f>500.29*(CONSTPC)</f>
        <v>500.29</v>
      </c>
      <c r="O36" s="281">
        <f>628.33*(CONSTPC)</f>
        <v>628.33000000000004</v>
      </c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</row>
    <row r="37" spans="1:44" ht="15" x14ac:dyDescent="0.25">
      <c r="A37" s="84">
        <v>2000</v>
      </c>
      <c r="B37" s="279">
        <f>231.14*(CONSTPC)</f>
        <v>231.14</v>
      </c>
      <c r="C37" s="280">
        <f>267.62*(CONSTPC)</f>
        <v>267.62</v>
      </c>
      <c r="D37" s="280">
        <f>321.6*(CONSTPC)</f>
        <v>321.60000000000002</v>
      </c>
      <c r="E37" s="280">
        <f>338.56*(CONSTPC)</f>
        <v>338.56</v>
      </c>
      <c r="F37" s="286">
        <f>351.55*(CONSTPC)</f>
        <v>351.55</v>
      </c>
      <c r="G37" s="281">
        <f>552.98*(CONSTPC)</f>
        <v>552.98</v>
      </c>
      <c r="H37" s="43"/>
      <c r="I37" s="84">
        <v>2000</v>
      </c>
      <c r="J37" s="279">
        <f>366.07*(CONSTPC)</f>
        <v>366.07</v>
      </c>
      <c r="K37" s="280">
        <f>418.52*(CONSTPC)</f>
        <v>418.52</v>
      </c>
      <c r="L37" s="280">
        <f>499.71*(CONSTPC)</f>
        <v>499.71</v>
      </c>
      <c r="M37" s="280">
        <f>525.24*(CONSTPC)</f>
        <v>525.24</v>
      </c>
      <c r="N37" s="280">
        <f>543.82*(CONSTPC)</f>
        <v>543.82000000000005</v>
      </c>
      <c r="O37" s="281">
        <f>678.97*(CONSTPC)</f>
        <v>678.97</v>
      </c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</row>
    <row r="38" spans="1:44" ht="15" x14ac:dyDescent="0.25">
      <c r="A38" s="84">
        <v>2300</v>
      </c>
      <c r="B38" s="279">
        <f>258.79*(CONSTPC)</f>
        <v>258.79000000000002</v>
      </c>
      <c r="C38" s="280">
        <f>301.7*(CONSTPC)</f>
        <v>301.7</v>
      </c>
      <c r="D38" s="280">
        <f>363.1*(CONSTPC)</f>
        <v>363.1</v>
      </c>
      <c r="E38" s="280">
        <f>382.9*(CONSTPC)</f>
        <v>382.9</v>
      </c>
      <c r="F38" s="286">
        <f>398.03*(CONSTPC)</f>
        <v>398.03</v>
      </c>
      <c r="G38" s="281">
        <f>625.34*(CONSTPC)</f>
        <v>625.34</v>
      </c>
      <c r="H38" s="43"/>
      <c r="I38" s="84">
        <v>2300</v>
      </c>
      <c r="J38" s="279">
        <f>405.8*(CONSTPC)</f>
        <v>405.8</v>
      </c>
      <c r="K38" s="280">
        <f>467.04*(CONSTPC)</f>
        <v>467.04</v>
      </c>
      <c r="L38" s="280">
        <f>559.57*(CONSTPC)</f>
        <v>559.57000000000005</v>
      </c>
      <c r="M38" s="280">
        <f>588.67*(CONSTPC)</f>
        <v>588.66999999999996</v>
      </c>
      <c r="N38" s="280">
        <f>610.56*(CONSTPC)</f>
        <v>610.55999999999995</v>
      </c>
      <c r="O38" s="281">
        <f>733.81*(CONSTPC)</f>
        <v>733.81</v>
      </c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</row>
    <row r="39" spans="1:44" ht="15" x14ac:dyDescent="0.25">
      <c r="A39" s="84">
        <v>2600</v>
      </c>
      <c r="B39" s="279">
        <f>287.17*(CONSTPC)</f>
        <v>287.17</v>
      </c>
      <c r="C39" s="280">
        <f>335.8*(CONSTPC)</f>
        <v>335.8</v>
      </c>
      <c r="D39" s="280">
        <f>404.57*(CONSTPC)</f>
        <v>404.57</v>
      </c>
      <c r="E39" s="280">
        <f>426.74*(CONSTPC)</f>
        <v>426.74</v>
      </c>
      <c r="F39" s="286">
        <f>443.92*(CONSTPC)</f>
        <v>443.92</v>
      </c>
      <c r="G39" s="281">
        <f>694.96*(CONSTPC)</f>
        <v>694.96</v>
      </c>
      <c r="H39" s="43"/>
      <c r="I39" s="84">
        <v>2600</v>
      </c>
      <c r="J39" s="279">
        <f>444.86*(CONSTPC)</f>
        <v>444.86</v>
      </c>
      <c r="K39" s="280">
        <f>515.45*(CONSTPC)</f>
        <v>515.45000000000005</v>
      </c>
      <c r="L39" s="280">
        <f>619.17*(CONSTPC)</f>
        <v>619.16999999999996</v>
      </c>
      <c r="M39" s="280">
        <f>652.23*(CONSTPC)</f>
        <v>652.23</v>
      </c>
      <c r="N39" s="280">
        <f>676.95*(CONSTPC)</f>
        <v>676.95</v>
      </c>
      <c r="O39" s="281">
        <f>812.97*(CONSTPC)</f>
        <v>812.97</v>
      </c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</row>
    <row r="40" spans="1:44" ht="15.75" thickBot="1" x14ac:dyDescent="0.3">
      <c r="A40" s="86">
        <v>3000</v>
      </c>
      <c r="B40" s="282">
        <f>324.23*(CONSTPC)</f>
        <v>324.23</v>
      </c>
      <c r="C40" s="283">
        <f>381.08*(CONSTPC)</f>
        <v>381.08</v>
      </c>
      <c r="D40" s="283">
        <f>460.24*(CONSTPC)</f>
        <v>460.24</v>
      </c>
      <c r="E40" s="283">
        <f>485.47*(CONSTPC)</f>
        <v>485.47</v>
      </c>
      <c r="F40" s="287">
        <f>505.05*(CONSTPC)</f>
        <v>505.05</v>
      </c>
      <c r="G40" s="284">
        <f>790.21*(CONSTPC)</f>
        <v>790.21</v>
      </c>
      <c r="H40" s="43"/>
      <c r="I40" s="86">
        <v>3000</v>
      </c>
      <c r="J40" s="282">
        <f>485.76*(CONSTPC)</f>
        <v>485.76</v>
      </c>
      <c r="K40" s="283">
        <f>567.9*(CONSTPC)</f>
        <v>567.9</v>
      </c>
      <c r="L40" s="283">
        <f>684.37*(CONSTPC)</f>
        <v>684.37</v>
      </c>
      <c r="M40" s="283">
        <f>721.76*(CONSTPC)</f>
        <v>721.76</v>
      </c>
      <c r="N40" s="283">
        <f>750.16*(CONSTPC)</f>
        <v>750.16</v>
      </c>
      <c r="O40" s="284">
        <f>901.31*(CONSTPC)</f>
        <v>901.31</v>
      </c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</row>
    <row r="41" spans="1:44" ht="13.5" thickTop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</row>
    <row r="42" spans="1:44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44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44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44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</sheetData>
  <mergeCells count="5">
    <mergeCell ref="H1:O1"/>
    <mergeCell ref="B4:G4"/>
    <mergeCell ref="J4:O4"/>
    <mergeCell ref="J23:O23"/>
    <mergeCell ref="B23:G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workbookViewId="0">
      <selection activeCell="S12" sqref="S12"/>
    </sheetView>
  </sheetViews>
  <sheetFormatPr defaultColWidth="8.85546875" defaultRowHeight="12.75" x14ac:dyDescent="0.2"/>
  <cols>
    <col min="1" max="1" width="5.5703125" style="1" customWidth="1"/>
    <col min="2" max="2" width="6.28515625" style="1" customWidth="1"/>
    <col min="3" max="3" width="6.7109375" style="1" customWidth="1"/>
    <col min="4" max="5" width="6.85546875" style="1" customWidth="1"/>
    <col min="6" max="6" width="6.42578125" style="1" customWidth="1"/>
    <col min="7" max="7" width="6.5703125" style="1" customWidth="1"/>
    <col min="8" max="8" width="1.28515625" style="1" customWidth="1"/>
    <col min="9" max="13" width="6.42578125" style="1" customWidth="1"/>
    <col min="14" max="14" width="7" style="1" customWidth="1"/>
    <col min="15" max="15" width="7.28515625" style="1" customWidth="1"/>
    <col min="16" max="16" width="1.140625" style="1" customWidth="1"/>
    <col min="17" max="20" width="7.5703125" style="1" customWidth="1"/>
    <col min="21" max="22" width="6.42578125" style="1" customWidth="1"/>
    <col min="23" max="16384" width="8.85546875" style="1"/>
  </cols>
  <sheetData>
    <row r="1" spans="1:40" ht="19.5" x14ac:dyDescent="0.25">
      <c r="A1" s="75"/>
      <c r="B1" s="44"/>
      <c r="C1" s="44"/>
      <c r="D1" s="45"/>
      <c r="E1" s="45"/>
      <c r="F1" s="45"/>
      <c r="G1" s="44"/>
      <c r="H1" s="708" t="s">
        <v>410</v>
      </c>
      <c r="I1" s="708"/>
      <c r="J1" s="708"/>
      <c r="K1" s="708"/>
      <c r="L1" s="708"/>
      <c r="M1" s="708"/>
      <c r="N1" s="708"/>
      <c r="O1" s="708"/>
      <c r="P1" s="44"/>
      <c r="Q1" s="44"/>
      <c r="R1" s="44"/>
      <c r="S1" s="44"/>
      <c r="T1" s="44"/>
      <c r="U1" s="44"/>
      <c r="V1" s="44"/>
    </row>
    <row r="2" spans="1:40" ht="15" x14ac:dyDescent="0.2">
      <c r="A2" s="48" t="s">
        <v>171</v>
      </c>
      <c r="B2" s="49"/>
      <c r="C2" s="49"/>
      <c r="D2" s="50"/>
      <c r="E2" s="50"/>
      <c r="F2" s="5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2"/>
      <c r="S2" s="52"/>
      <c r="T2" s="52"/>
      <c r="U2" s="387" t="s">
        <v>416</v>
      </c>
      <c r="V2" s="386"/>
    </row>
    <row r="3" spans="1:40" ht="3.75" customHeight="1" thickBot="1" x14ac:dyDescent="0.25">
      <c r="A3" s="43"/>
      <c r="B3" s="7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40" ht="14.25" thickTop="1" thickBot="1" x14ac:dyDescent="0.25">
      <c r="A4" s="78" t="s">
        <v>173</v>
      </c>
      <c r="B4" s="705" t="s">
        <v>174</v>
      </c>
      <c r="C4" s="706"/>
      <c r="D4" s="706"/>
      <c r="E4" s="706"/>
      <c r="F4" s="706"/>
      <c r="G4" s="707"/>
      <c r="H4" s="43"/>
      <c r="I4" s="78" t="s">
        <v>173</v>
      </c>
      <c r="J4" s="705" t="s">
        <v>174</v>
      </c>
      <c r="K4" s="706"/>
      <c r="L4" s="706"/>
      <c r="M4" s="706"/>
      <c r="N4" s="706"/>
      <c r="O4" s="707"/>
      <c r="P4" s="43"/>
      <c r="Q4" s="43"/>
      <c r="R4" s="43"/>
      <c r="S4" s="43"/>
      <c r="T4" s="43"/>
      <c r="U4" s="43"/>
      <c r="V4" s="43"/>
    </row>
    <row r="5" spans="1:40" ht="14.25" thickTop="1" thickBot="1" x14ac:dyDescent="0.25">
      <c r="A5" s="78">
        <v>11</v>
      </c>
      <c r="B5" s="82">
        <v>300</v>
      </c>
      <c r="C5" s="79">
        <v>400</v>
      </c>
      <c r="D5" s="80">
        <v>500</v>
      </c>
      <c r="E5" s="80">
        <v>550</v>
      </c>
      <c r="F5" s="80">
        <v>600</v>
      </c>
      <c r="G5" s="81">
        <v>900</v>
      </c>
      <c r="H5" s="43"/>
      <c r="I5" s="78" t="s">
        <v>2</v>
      </c>
      <c r="J5" s="82">
        <v>300</v>
      </c>
      <c r="K5" s="79">
        <v>400</v>
      </c>
      <c r="L5" s="80">
        <v>500</v>
      </c>
      <c r="M5" s="80">
        <v>550</v>
      </c>
      <c r="N5" s="80">
        <v>600</v>
      </c>
      <c r="O5" s="81">
        <v>900</v>
      </c>
      <c r="P5" s="43"/>
      <c r="Q5" s="43"/>
      <c r="R5" s="43"/>
      <c r="S5" s="43"/>
      <c r="T5" s="43"/>
      <c r="U5" s="43"/>
      <c r="V5" s="43"/>
    </row>
    <row r="6" spans="1:40" ht="15.75" thickTop="1" x14ac:dyDescent="0.25">
      <c r="A6" s="83">
        <v>400</v>
      </c>
      <c r="B6" s="276">
        <f>66.58*(CONSTRC)</f>
        <v>66.58</v>
      </c>
      <c r="C6" s="277">
        <f>71.98*(CONSTRC)</f>
        <v>71.98</v>
      </c>
      <c r="D6" s="277">
        <f>72.57*(CONSTRC)</f>
        <v>72.569999999999993</v>
      </c>
      <c r="E6" s="277">
        <f>79.17*(CONSTRC)</f>
        <v>79.17</v>
      </c>
      <c r="F6" s="290">
        <f>85.04*(CONSTRC)</f>
        <v>85.04</v>
      </c>
      <c r="G6" s="291">
        <f>96.77*(CONSTRC)</f>
        <v>96.77</v>
      </c>
      <c r="H6" s="43"/>
      <c r="I6" s="83">
        <v>400</v>
      </c>
      <c r="J6" s="276">
        <f>82.48*(CONSTRC)</f>
        <v>82.48</v>
      </c>
      <c r="K6" s="277">
        <f>86.52*(CONSTRC)</f>
        <v>86.52</v>
      </c>
      <c r="L6" s="277">
        <f>101.28*(CONSTRC)</f>
        <v>101.28</v>
      </c>
      <c r="M6" s="277">
        <f>105.47*(CONSTRC)</f>
        <v>105.47</v>
      </c>
      <c r="N6" s="277">
        <f>108.56*(CONSTRC)</f>
        <v>108.56</v>
      </c>
      <c r="O6" s="278">
        <f>153.41*(CONSTRC)</f>
        <v>153.41</v>
      </c>
      <c r="P6" s="43"/>
      <c r="Q6" s="43"/>
      <c r="R6" s="43"/>
      <c r="S6" s="43"/>
      <c r="T6" s="43"/>
      <c r="U6" s="43"/>
      <c r="V6" s="43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</row>
    <row r="7" spans="1:40" ht="15" x14ac:dyDescent="0.25">
      <c r="A7" s="84">
        <v>500</v>
      </c>
      <c r="B7" s="279">
        <f>70.3*(CONSTRC)</f>
        <v>70.3</v>
      </c>
      <c r="C7" s="280">
        <f>75.82*(CONSTRC)</f>
        <v>75.819999999999993</v>
      </c>
      <c r="D7" s="280">
        <f>78.63*(CONSTRC)</f>
        <v>78.63</v>
      </c>
      <c r="E7" s="280">
        <f>83.46*(CONSTRC)</f>
        <v>83.46</v>
      </c>
      <c r="F7" s="288">
        <f>87.2*(CONSTRC)</f>
        <v>87.2</v>
      </c>
      <c r="G7" s="289">
        <f>106.91*(CONSTRC)</f>
        <v>106.91</v>
      </c>
      <c r="H7" s="43"/>
      <c r="I7" s="84">
        <v>500</v>
      </c>
      <c r="J7" s="279">
        <f>93.19*(CONSTRC)</f>
        <v>93.19</v>
      </c>
      <c r="K7" s="280">
        <f>98.08*(CONSTRC)</f>
        <v>98.08</v>
      </c>
      <c r="L7" s="280">
        <f>115.23*(CONSTRC)</f>
        <v>115.23</v>
      </c>
      <c r="M7" s="280">
        <f>119.54*(CONSTRC)</f>
        <v>119.54</v>
      </c>
      <c r="N7" s="280">
        <f>122.54*(CONSTRC)</f>
        <v>122.54</v>
      </c>
      <c r="O7" s="281">
        <f>173.26*(CONSTRC)</f>
        <v>173.26</v>
      </c>
      <c r="P7" s="43"/>
      <c r="Q7" s="43"/>
      <c r="R7" s="43"/>
      <c r="S7" s="43"/>
      <c r="T7" s="43"/>
      <c r="U7" s="43"/>
      <c r="V7" s="43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</row>
    <row r="8" spans="1:40" ht="15" x14ac:dyDescent="0.25">
      <c r="A8" s="84">
        <v>600</v>
      </c>
      <c r="B8" s="279">
        <f>74.14*(CONSTRC)</f>
        <v>74.14</v>
      </c>
      <c r="C8" s="280">
        <f>80.92*(CONSTRC)</f>
        <v>80.92</v>
      </c>
      <c r="D8" s="280">
        <f>85.27*(CONSTRC)</f>
        <v>85.27</v>
      </c>
      <c r="E8" s="280">
        <f>90.18*(CONSTRC)</f>
        <v>90.18</v>
      </c>
      <c r="F8" s="288">
        <f>93.86*(CONSTRC)</f>
        <v>93.86</v>
      </c>
      <c r="G8" s="289">
        <f>117.16*(CONSTRC)</f>
        <v>117.16</v>
      </c>
      <c r="H8" s="43"/>
      <c r="I8" s="84">
        <v>600</v>
      </c>
      <c r="J8" s="279">
        <f>101.91*(CONSTRC)</f>
        <v>101.91</v>
      </c>
      <c r="K8" s="280">
        <f>109.21*(CONSTRC)</f>
        <v>109.21</v>
      </c>
      <c r="L8" s="280">
        <f>128.56*(CONSTRC)</f>
        <v>128.56</v>
      </c>
      <c r="M8" s="280">
        <f>133.68*(CONSTRC)</f>
        <v>133.68</v>
      </c>
      <c r="N8" s="280">
        <f>137.52*(CONSTRC)</f>
        <v>137.52000000000001</v>
      </c>
      <c r="O8" s="281">
        <f>193.58*(CONSTRC)</f>
        <v>193.58</v>
      </c>
      <c r="P8" s="43"/>
      <c r="Q8" s="43"/>
      <c r="R8" s="43"/>
      <c r="S8" s="43"/>
      <c r="T8" s="43"/>
      <c r="U8" s="43"/>
      <c r="V8" s="43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</row>
    <row r="9" spans="1:40" ht="15" x14ac:dyDescent="0.25">
      <c r="A9" s="84">
        <v>700</v>
      </c>
      <c r="B9" s="279">
        <f>77.71*(CONSTRC)</f>
        <v>77.709999999999994</v>
      </c>
      <c r="C9" s="280">
        <f>85.64*(CONSTRC)</f>
        <v>85.64</v>
      </c>
      <c r="D9" s="280">
        <f>92.31*(CONSTRC)</f>
        <v>92.31</v>
      </c>
      <c r="E9" s="280">
        <f>97.11*(CONSTRC)</f>
        <v>97.11</v>
      </c>
      <c r="F9" s="288">
        <f>100.62*(CONSTRC)</f>
        <v>100.62</v>
      </c>
      <c r="G9" s="289">
        <f>127.41*(CONSTRC)</f>
        <v>127.41</v>
      </c>
      <c r="H9" s="43"/>
      <c r="I9" s="84">
        <v>700</v>
      </c>
      <c r="J9" s="279">
        <f>111.4*(CONSTRC)</f>
        <v>111.4</v>
      </c>
      <c r="K9" s="280">
        <f>121*(CONSTRC)</f>
        <v>121</v>
      </c>
      <c r="L9" s="280">
        <f>142.25*(CONSTRC)</f>
        <v>142.25</v>
      </c>
      <c r="M9" s="280">
        <f>148.44*(CONSTRC)</f>
        <v>148.44</v>
      </c>
      <c r="N9" s="280">
        <f>152.76*(CONSTRC)</f>
        <v>152.76</v>
      </c>
      <c r="O9" s="281">
        <f>219.69*(CONSTRC)</f>
        <v>219.69</v>
      </c>
      <c r="P9" s="43"/>
      <c r="Q9" s="43"/>
      <c r="R9" s="43"/>
      <c r="S9" s="43"/>
      <c r="T9" s="43"/>
      <c r="U9" s="43"/>
      <c r="V9" s="43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</row>
    <row r="10" spans="1:40" ht="15" x14ac:dyDescent="0.25">
      <c r="A10" s="84">
        <v>800</v>
      </c>
      <c r="B10" s="279">
        <f>80.92*(CONSTRC)</f>
        <v>80.92</v>
      </c>
      <c r="C10" s="280">
        <f>90.15*(CONSTRC)</f>
        <v>90.15</v>
      </c>
      <c r="D10" s="280">
        <f>97.7*(CONSTRC)</f>
        <v>97.7</v>
      </c>
      <c r="E10" s="280">
        <f>103.04*(CONSTRC)</f>
        <v>103.04</v>
      </c>
      <c r="F10" s="288">
        <f>107.29*(CONSTRC)</f>
        <v>107.29</v>
      </c>
      <c r="G10" s="289">
        <f>137.24*(CONSTRC)</f>
        <v>137.24</v>
      </c>
      <c r="H10" s="43"/>
      <c r="I10" s="84">
        <v>800</v>
      </c>
      <c r="J10" s="279">
        <f>121*(CONSTRC)</f>
        <v>121</v>
      </c>
      <c r="K10" s="280">
        <f>132.4*(CONSTRC)</f>
        <v>132.4</v>
      </c>
      <c r="L10" s="280">
        <f>156.6*(CONSTRC)</f>
        <v>156.6</v>
      </c>
      <c r="M10" s="280">
        <f>163.49*(CONSTRC)</f>
        <v>163.49</v>
      </c>
      <c r="N10" s="280">
        <f>168.1*(CONSTRC)</f>
        <v>168.1</v>
      </c>
      <c r="O10" s="281">
        <f>245.05*(CONSTRC)</f>
        <v>245.05</v>
      </c>
      <c r="P10" s="43"/>
      <c r="Q10" s="43"/>
      <c r="R10" s="43"/>
      <c r="S10" s="43"/>
      <c r="T10" s="43"/>
      <c r="U10" s="43"/>
      <c r="V10" s="43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</row>
    <row r="11" spans="1:40" ht="15" x14ac:dyDescent="0.25">
      <c r="A11" s="84">
        <v>900</v>
      </c>
      <c r="B11" s="279">
        <f>85.93*(CONSTRC)</f>
        <v>85.93</v>
      </c>
      <c r="C11" s="280">
        <f>96.18*(CONSTRC)</f>
        <v>96.18</v>
      </c>
      <c r="D11" s="280">
        <f>104.98*(CONSTRC)</f>
        <v>104.98</v>
      </c>
      <c r="E11" s="280">
        <f>110.01*(CONSTRC)</f>
        <v>110.01</v>
      </c>
      <c r="F11" s="288">
        <f>113.69*(CONSTRC)</f>
        <v>113.69</v>
      </c>
      <c r="G11" s="289">
        <f>146.49*(CONSTRC)</f>
        <v>146.49</v>
      </c>
      <c r="H11" s="43"/>
      <c r="I11" s="84">
        <v>900</v>
      </c>
      <c r="J11" s="279">
        <f>130.46*(CONSTRC)</f>
        <v>130.46</v>
      </c>
      <c r="K11" s="280">
        <f>143.54*(CONSTRC)</f>
        <v>143.54</v>
      </c>
      <c r="L11" s="280">
        <f>170.68*(CONSTRC)</f>
        <v>170.68</v>
      </c>
      <c r="M11" s="280">
        <f>178.09*(CONSTRC)</f>
        <v>178.09</v>
      </c>
      <c r="N11" s="280">
        <f>183.76*(CONSTRC)</f>
        <v>183.76</v>
      </c>
      <c r="O11" s="281">
        <f>270.92*(CONSTRC)</f>
        <v>270.92</v>
      </c>
      <c r="P11" s="43"/>
      <c r="Q11" s="43"/>
      <c r="R11" s="43"/>
      <c r="S11" s="43"/>
      <c r="T11" s="43"/>
      <c r="U11" s="43"/>
      <c r="V11" s="43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</row>
    <row r="12" spans="1:40" ht="15" x14ac:dyDescent="0.25">
      <c r="A12" s="84">
        <v>1000</v>
      </c>
      <c r="B12" s="279">
        <f>90.15*(CONSTRC)</f>
        <v>90.15</v>
      </c>
      <c r="C12" s="280">
        <f>100.62*(CONSTRC)</f>
        <v>100.62</v>
      </c>
      <c r="D12" s="280">
        <f>112.67*(CONSTRC)</f>
        <v>112.67</v>
      </c>
      <c r="E12" s="280">
        <f>117.48*(CONSTRC)</f>
        <v>117.48</v>
      </c>
      <c r="F12" s="288">
        <f>121*(CONSTRC)</f>
        <v>121</v>
      </c>
      <c r="G12" s="289">
        <f>159.17*(CONSTRC)</f>
        <v>159.16999999999999</v>
      </c>
      <c r="H12" s="43"/>
      <c r="I12" s="84">
        <v>1000</v>
      </c>
      <c r="J12" s="279">
        <f>140.07*(CONSTRC)</f>
        <v>140.07</v>
      </c>
      <c r="K12" s="280">
        <f>154.66*(CONSTRC)</f>
        <v>154.66</v>
      </c>
      <c r="L12" s="280">
        <f>183.96*(CONSTRC)</f>
        <v>183.96</v>
      </c>
      <c r="M12" s="280">
        <f>192.72*(CONSTRC)</f>
        <v>192.72</v>
      </c>
      <c r="N12" s="280">
        <f>198.98*(CONSTRC)</f>
        <v>198.98</v>
      </c>
      <c r="O12" s="281">
        <f>296.42*(CONSTRC)</f>
        <v>296.42</v>
      </c>
      <c r="P12" s="43"/>
      <c r="Q12" s="43"/>
      <c r="R12" s="85" t="s">
        <v>172</v>
      </c>
      <c r="S12" s="644">
        <v>0</v>
      </c>
      <c r="T12" s="43"/>
      <c r="U12" s="43"/>
      <c r="V12" s="43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</row>
    <row r="13" spans="1:40" ht="15" x14ac:dyDescent="0.25">
      <c r="A13" s="84">
        <v>1100</v>
      </c>
      <c r="B13" s="279">
        <f>97.03*(CONSTRC)</f>
        <v>97.03</v>
      </c>
      <c r="C13" s="280">
        <f>108.82*(CONSTRC)</f>
        <v>108.82</v>
      </c>
      <c r="D13" s="280">
        <f>120.64*(CONSTRC)</f>
        <v>120.64</v>
      </c>
      <c r="E13" s="280">
        <f>125.51*(CONSTRC)</f>
        <v>125.51</v>
      </c>
      <c r="F13" s="288">
        <f>128.91*(CONSTRC)</f>
        <v>128.91</v>
      </c>
      <c r="G13" s="289">
        <f>171.94*(CONSTRC)</f>
        <v>171.94</v>
      </c>
      <c r="H13" s="43"/>
      <c r="I13" s="84">
        <v>1100</v>
      </c>
      <c r="J13" s="279">
        <f>149.28*(CONSTRC)</f>
        <v>149.28</v>
      </c>
      <c r="K13" s="280">
        <f>166.85*(CONSTRC)</f>
        <v>166.85</v>
      </c>
      <c r="L13" s="280">
        <f>197.93*(CONSTRC)</f>
        <v>197.93</v>
      </c>
      <c r="M13" s="280">
        <f>207.44*(CONSTRC)</f>
        <v>207.44</v>
      </c>
      <c r="N13" s="280">
        <f>214.57*(CONSTRC)</f>
        <v>214.57</v>
      </c>
      <c r="O13" s="281">
        <f>323.19*(CONSTRC)</f>
        <v>323.19</v>
      </c>
      <c r="P13" s="43"/>
      <c r="Q13" s="43"/>
      <c r="R13" s="43"/>
      <c r="S13" s="43"/>
      <c r="T13" s="43"/>
      <c r="U13" s="43"/>
      <c r="V13" s="43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</row>
    <row r="14" spans="1:40" ht="15.75" thickBot="1" x14ac:dyDescent="0.3">
      <c r="A14" s="84">
        <v>1200</v>
      </c>
      <c r="B14" s="279">
        <f>102.17*(CONSTRC)</f>
        <v>102.17</v>
      </c>
      <c r="C14" s="280">
        <f>114.97*(CONSTRC)</f>
        <v>114.97</v>
      </c>
      <c r="D14" s="280">
        <f>128.31*(CONSTRC)</f>
        <v>128.31</v>
      </c>
      <c r="E14" s="280">
        <f>133.88*(CONSTRC)</f>
        <v>133.88</v>
      </c>
      <c r="F14" s="288">
        <f>137.88*(CONSTRC)</f>
        <v>137.88</v>
      </c>
      <c r="G14" s="289">
        <f>184.63*(CONSTRC)</f>
        <v>184.63</v>
      </c>
      <c r="H14" s="43"/>
      <c r="I14" s="84">
        <v>1200</v>
      </c>
      <c r="J14" s="279">
        <f>158.88*(CONSTRC)</f>
        <v>158.88</v>
      </c>
      <c r="K14" s="280">
        <f>177.99*(CONSTRC)</f>
        <v>177.99</v>
      </c>
      <c r="L14" s="280">
        <f>211.66*(CONSTRC)</f>
        <v>211.66</v>
      </c>
      <c r="M14" s="280">
        <f>221.92*(CONSTRC)</f>
        <v>221.92</v>
      </c>
      <c r="N14" s="280">
        <f>229.17*(CONSTRC)</f>
        <v>229.17</v>
      </c>
      <c r="O14" s="281">
        <f>347.99*(CONSTRC)</f>
        <v>347.99</v>
      </c>
      <c r="P14" s="43"/>
      <c r="V14" s="43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</row>
    <row r="15" spans="1:40" ht="16.5" thickTop="1" thickBot="1" x14ac:dyDescent="0.3">
      <c r="A15" s="84">
        <v>1400</v>
      </c>
      <c r="B15" s="279">
        <f>121.89*(CONSTRC)</f>
        <v>121.89</v>
      </c>
      <c r="C15" s="280">
        <f>136.87*(CONSTRC)</f>
        <v>136.87</v>
      </c>
      <c r="D15" s="280">
        <f>143.9*(CONSTRC)</f>
        <v>143.9</v>
      </c>
      <c r="E15" s="280">
        <f>150.38*(CONSTRC)</f>
        <v>150.38</v>
      </c>
      <c r="F15" s="288">
        <f>154.66*(CONSTRC)</f>
        <v>154.66</v>
      </c>
      <c r="G15" s="289">
        <f>211*(CONSTRC)</f>
        <v>211</v>
      </c>
      <c r="H15" s="43"/>
      <c r="I15" s="84">
        <v>1400</v>
      </c>
      <c r="J15" s="279">
        <f>177.55*(CONSTRC)</f>
        <v>177.55</v>
      </c>
      <c r="K15" s="280">
        <f>200.51*(CONSTRC)</f>
        <v>200.51</v>
      </c>
      <c r="L15" s="280">
        <f>239.71*(CONSTRC)</f>
        <v>239.71</v>
      </c>
      <c r="M15" s="280">
        <f>251.15*(CONSTRC)</f>
        <v>251.15</v>
      </c>
      <c r="N15" s="280">
        <f>260.03*(CONSTRC)</f>
        <v>260.02999999999997</v>
      </c>
      <c r="O15" s="281">
        <f>399.46*(CONSTRC)</f>
        <v>399.46</v>
      </c>
      <c r="P15" s="43"/>
      <c r="Q15" s="388" t="s">
        <v>175</v>
      </c>
      <c r="R15" s="87"/>
      <c r="S15" s="87"/>
      <c r="T15" s="87"/>
      <c r="U15" s="391"/>
      <c r="V15" s="88" t="s">
        <v>170</v>
      </c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40" ht="15.75" thickTop="1" x14ac:dyDescent="0.25">
      <c r="A16" s="84">
        <v>1600</v>
      </c>
      <c r="B16" s="279">
        <f>132.14*(CONSTRC)</f>
        <v>132.13999999999999</v>
      </c>
      <c r="C16" s="280">
        <f>148.63*(CONSTRC)</f>
        <v>148.63</v>
      </c>
      <c r="D16" s="280">
        <f>159.78*(CONSTRC)</f>
        <v>159.78</v>
      </c>
      <c r="E16" s="280">
        <f>169.19*(CONSTRC)</f>
        <v>169.19</v>
      </c>
      <c r="F16" s="288">
        <f>176.96*(CONSTRC)</f>
        <v>176.96</v>
      </c>
      <c r="G16" s="289">
        <f>237.13*(CONSTRC)</f>
        <v>237.13</v>
      </c>
      <c r="H16" s="43"/>
      <c r="I16" s="84">
        <v>1600</v>
      </c>
      <c r="J16" s="279">
        <f>196.4*(CONSTRC)</f>
        <v>196.4</v>
      </c>
      <c r="K16" s="280">
        <f>223.17*(CONSTRC)</f>
        <v>223.17</v>
      </c>
      <c r="L16" s="280">
        <f>267.08*(CONSTRC)</f>
        <v>267.08</v>
      </c>
      <c r="M16" s="280">
        <f>280.63*(CONSTRC)</f>
        <v>280.63</v>
      </c>
      <c r="N16" s="280">
        <f>290.64*(CONSTRC)</f>
        <v>290.64</v>
      </c>
      <c r="O16" s="281">
        <f>451.08*(CONSTRC)</f>
        <v>451.08</v>
      </c>
      <c r="P16" s="43"/>
      <c r="Q16" s="642" t="s">
        <v>176</v>
      </c>
      <c r="R16" s="90"/>
      <c r="S16" s="90"/>
      <c r="T16" s="90"/>
      <c r="U16" s="203"/>
      <c r="V16" s="295">
        <f>4.37*(CONSTRC)</f>
        <v>4.37</v>
      </c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</row>
    <row r="17" spans="1:40" ht="15" x14ac:dyDescent="0.25">
      <c r="A17" s="84">
        <v>1800</v>
      </c>
      <c r="B17" s="279">
        <f>146.7*(CONSTRC)</f>
        <v>146.69999999999999</v>
      </c>
      <c r="C17" s="280">
        <f>165.58*(CONSTRC)</f>
        <v>165.58</v>
      </c>
      <c r="D17" s="280">
        <f>175.41*(CONSTRC)</f>
        <v>175.41</v>
      </c>
      <c r="E17" s="280">
        <f>187.82*(CONSTRC)</f>
        <v>187.82</v>
      </c>
      <c r="F17" s="288">
        <f>197.93*(CONSTRC)</f>
        <v>197.93</v>
      </c>
      <c r="G17" s="289">
        <f>264.51*(CONSTRC)</f>
        <v>264.51</v>
      </c>
      <c r="H17" s="43"/>
      <c r="I17" s="84">
        <v>1800</v>
      </c>
      <c r="J17" s="279">
        <f>215.22*(CONSTRC)</f>
        <v>215.22</v>
      </c>
      <c r="K17" s="280">
        <f>246.37*(CONSTRC)</f>
        <v>246.37</v>
      </c>
      <c r="L17" s="280">
        <f>294.74*(CONSTRC)</f>
        <v>294.74</v>
      </c>
      <c r="M17" s="280">
        <f>309.87*(CONSTRC)</f>
        <v>309.87</v>
      </c>
      <c r="N17" s="280">
        <f>321.22*(CONSTRC)</f>
        <v>321.22000000000003</v>
      </c>
      <c r="O17" s="281">
        <f>502.02*(CONSTRC)</f>
        <v>502.02</v>
      </c>
      <c r="P17" s="43"/>
      <c r="Q17" s="92" t="s">
        <v>177</v>
      </c>
      <c r="R17" s="90"/>
      <c r="S17" s="90"/>
      <c r="T17" s="90"/>
      <c r="U17" s="203"/>
      <c r="V17" s="296">
        <f>30.33*(CONSTRC)</f>
        <v>30.33</v>
      </c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</row>
    <row r="18" spans="1:40" ht="15" x14ac:dyDescent="0.25">
      <c r="A18" s="84">
        <v>2000</v>
      </c>
      <c r="B18" s="279">
        <f>156.95*(CONSTRC)</f>
        <v>156.94999999999999</v>
      </c>
      <c r="C18" s="280">
        <f>177.35*(CONSTRC)</f>
        <v>177.35</v>
      </c>
      <c r="D18" s="280">
        <f>191.94*(CONSTRC)</f>
        <v>191.94</v>
      </c>
      <c r="E18" s="280">
        <f>203.7*(CONSTRC)</f>
        <v>203.7</v>
      </c>
      <c r="F18" s="288">
        <f>213.57*(CONSTRC)</f>
        <v>213.57</v>
      </c>
      <c r="G18" s="289">
        <f>290*(CONSTRC)</f>
        <v>290</v>
      </c>
      <c r="H18" s="43"/>
      <c r="I18" s="84">
        <v>2000</v>
      </c>
      <c r="J18" s="279">
        <f>233.68*(CONSTRC)</f>
        <v>233.68</v>
      </c>
      <c r="K18" s="280">
        <f>268.6*(CONSTRC)</f>
        <v>268.60000000000002</v>
      </c>
      <c r="L18" s="280">
        <f>322.1*(CONSTRC)</f>
        <v>322.10000000000002</v>
      </c>
      <c r="M18" s="280">
        <f>339.18*(CONSTRC)</f>
        <v>339.18</v>
      </c>
      <c r="N18" s="280">
        <f>352.07*(CONSTRC)</f>
        <v>352.07</v>
      </c>
      <c r="O18" s="281">
        <f>554.51*(CONSTRC)</f>
        <v>554.51</v>
      </c>
      <c r="P18" s="43"/>
      <c r="Q18" s="89" t="s">
        <v>178</v>
      </c>
      <c r="R18" s="90"/>
      <c r="S18" s="90"/>
      <c r="T18" s="90"/>
      <c r="U18" s="203"/>
      <c r="V18" s="296">
        <f>22.08*(CONSTRC)</f>
        <v>22.08</v>
      </c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</row>
    <row r="19" spans="1:40" ht="15" x14ac:dyDescent="0.25">
      <c r="A19" s="84">
        <v>2300</v>
      </c>
      <c r="B19" s="279">
        <f>174.39*(CONSTRC)</f>
        <v>174.39</v>
      </c>
      <c r="C19" s="280">
        <f>197.93*(CONSTRC)</f>
        <v>197.93</v>
      </c>
      <c r="D19" s="280">
        <f>215.22*(CONSTRC)</f>
        <v>215.22</v>
      </c>
      <c r="E19" s="280">
        <f>228.97*(CONSTRC)</f>
        <v>228.97</v>
      </c>
      <c r="F19" s="288">
        <f>240.08*(CONSTRC)</f>
        <v>240.08</v>
      </c>
      <c r="G19" s="289">
        <f>321.51*(CONSTRC)</f>
        <v>321.51</v>
      </c>
      <c r="H19" s="43"/>
      <c r="I19" s="84">
        <v>2300</v>
      </c>
      <c r="J19" s="279">
        <f>262.35*(CONSTRC)</f>
        <v>262.35000000000002</v>
      </c>
      <c r="K19" s="280">
        <f>303.05*(CONSTRC)</f>
        <v>303.05</v>
      </c>
      <c r="L19" s="280">
        <f>364.52*(CONSTRC)</f>
        <v>364.52</v>
      </c>
      <c r="M19" s="280">
        <f>383.63*(CONSTRC)</f>
        <v>383.63</v>
      </c>
      <c r="N19" s="280">
        <f>397.92*(CONSTRC)</f>
        <v>397.92</v>
      </c>
      <c r="O19" s="281">
        <f>626.24*(CONSTRC)</f>
        <v>626.24</v>
      </c>
      <c r="P19" s="43"/>
      <c r="Q19" s="89" t="s">
        <v>179</v>
      </c>
      <c r="R19" s="90"/>
      <c r="S19" s="90"/>
      <c r="T19" s="90"/>
      <c r="U19" s="203"/>
      <c r="V19" s="296">
        <f>1.86*(CONSTRC)</f>
        <v>1.86</v>
      </c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</row>
    <row r="20" spans="1:40" ht="15" x14ac:dyDescent="0.25">
      <c r="A20" s="84">
        <v>2600</v>
      </c>
      <c r="B20" s="279">
        <f>189.11*(CONSTRC)</f>
        <v>189.11</v>
      </c>
      <c r="C20" s="280">
        <f>218.67*(CONSTRC)</f>
        <v>218.67</v>
      </c>
      <c r="D20" s="280">
        <f>239.71*(CONSTRC)</f>
        <v>239.71</v>
      </c>
      <c r="E20" s="280">
        <f>256.97*(CONSTRC)</f>
        <v>256.97000000000003</v>
      </c>
      <c r="F20" s="288">
        <f>271.18*(CONSTRC)</f>
        <v>271.18</v>
      </c>
      <c r="G20" s="289">
        <f>357.47*(CONSTRC)</f>
        <v>357.47</v>
      </c>
      <c r="H20" s="43"/>
      <c r="I20" s="84">
        <v>2600</v>
      </c>
      <c r="J20" s="279">
        <f>290.64*(CONSTRC)</f>
        <v>290.64</v>
      </c>
      <c r="K20" s="280">
        <f>337.11*(CONSTRC)</f>
        <v>337.11</v>
      </c>
      <c r="L20" s="280">
        <f>405.87*(CONSTRC)</f>
        <v>405.87</v>
      </c>
      <c r="M20" s="280">
        <f>427.71*(CONSTRC)</f>
        <v>427.71</v>
      </c>
      <c r="N20" s="280">
        <f>444.43*(CONSTRC)</f>
        <v>444.43</v>
      </c>
      <c r="O20" s="281">
        <f>696.23*(CONSTRC)</f>
        <v>696.23</v>
      </c>
      <c r="P20" s="43"/>
      <c r="Q20" s="89" t="s">
        <v>180</v>
      </c>
      <c r="R20" s="90"/>
      <c r="S20" s="90"/>
      <c r="T20" s="90"/>
      <c r="U20" s="203"/>
      <c r="V20" s="296">
        <f>8.25*(CONSTRC)</f>
        <v>8.25</v>
      </c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40" ht="15.75" thickBot="1" x14ac:dyDescent="0.3">
      <c r="A21" s="86">
        <v>3000</v>
      </c>
      <c r="B21" s="282">
        <f>216.76*(CONSTRC)</f>
        <v>216.76</v>
      </c>
      <c r="C21" s="283">
        <f>247.37*(CONSTRC)</f>
        <v>247.37</v>
      </c>
      <c r="D21" s="283">
        <f>271.57*(CONSTRC)</f>
        <v>271.57</v>
      </c>
      <c r="E21" s="283">
        <f>288.84*(CONSTRC)</f>
        <v>288.83999999999997</v>
      </c>
      <c r="F21" s="292">
        <f>302.69*(CONSTRC)</f>
        <v>302.69</v>
      </c>
      <c r="G21" s="293">
        <f>404.58*(CONSTRC)</f>
        <v>404.58</v>
      </c>
      <c r="H21" s="43"/>
      <c r="I21" s="86">
        <v>3000</v>
      </c>
      <c r="J21" s="282">
        <f>328.16*(CONSTRC)</f>
        <v>328.16</v>
      </c>
      <c r="K21" s="283">
        <f>382.95*(CONSTRC)</f>
        <v>382.95</v>
      </c>
      <c r="L21" s="283">
        <f>460.91*(CONSTRC)</f>
        <v>460.91</v>
      </c>
      <c r="M21" s="283">
        <f>486.3*(CONSTRC)</f>
        <v>486.3</v>
      </c>
      <c r="N21" s="283">
        <f>505.47*(CONSTRC)</f>
        <v>505.47</v>
      </c>
      <c r="O21" s="284">
        <f>790.73*(CONSTRC)</f>
        <v>790.73</v>
      </c>
      <c r="P21" s="43"/>
      <c r="Q21" s="94" t="s">
        <v>181</v>
      </c>
      <c r="R21" s="95"/>
      <c r="S21" s="95"/>
      <c r="T21" s="95"/>
      <c r="U21" s="177"/>
      <c r="V21" s="297">
        <f>9.14*(CONSTRC)</f>
        <v>9.14</v>
      </c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</row>
    <row r="22" spans="1:40" ht="14.25" thickTop="1" thickBot="1" x14ac:dyDescent="0.25">
      <c r="A22" s="4">
        <f>(1-S12)</f>
        <v>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</row>
    <row r="23" spans="1:40" ht="14.25" thickTop="1" thickBot="1" x14ac:dyDescent="0.25">
      <c r="A23" s="78" t="s">
        <v>173</v>
      </c>
      <c r="B23" s="614" t="s">
        <v>174</v>
      </c>
      <c r="C23" s="615"/>
      <c r="D23" s="615"/>
      <c r="E23" s="615"/>
      <c r="F23" s="615"/>
      <c r="G23" s="616"/>
      <c r="H23" s="43"/>
      <c r="I23" s="78" t="s">
        <v>173</v>
      </c>
      <c r="J23" s="705" t="s">
        <v>174</v>
      </c>
      <c r="K23" s="706"/>
      <c r="L23" s="706"/>
      <c r="M23" s="706"/>
      <c r="N23" s="706"/>
      <c r="O23" s="707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</row>
    <row r="24" spans="1:40" ht="14.25" thickTop="1" thickBot="1" x14ac:dyDescent="0.25">
      <c r="A24" s="78">
        <v>22</v>
      </c>
      <c r="B24" s="82">
        <v>300</v>
      </c>
      <c r="C24" s="79">
        <v>400</v>
      </c>
      <c r="D24" s="80">
        <v>500</v>
      </c>
      <c r="E24" s="80">
        <v>550</v>
      </c>
      <c r="F24" s="80">
        <v>600</v>
      </c>
      <c r="G24" s="81">
        <v>900</v>
      </c>
      <c r="H24" s="43"/>
      <c r="I24" s="78">
        <v>33</v>
      </c>
      <c r="J24" s="82">
        <v>300</v>
      </c>
      <c r="K24" s="79">
        <v>400</v>
      </c>
      <c r="L24" s="80">
        <v>500</v>
      </c>
      <c r="M24" s="80">
        <v>550</v>
      </c>
      <c r="N24" s="80">
        <v>600</v>
      </c>
      <c r="O24" s="81">
        <v>900</v>
      </c>
      <c r="Q24" s="629" t="s">
        <v>182</v>
      </c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</row>
    <row r="25" spans="1:40" ht="15.75" thickTop="1" x14ac:dyDescent="0.25">
      <c r="A25" s="83">
        <v>400</v>
      </c>
      <c r="B25" s="276">
        <f>83.36*(CONSTRC)</f>
        <v>83.36</v>
      </c>
      <c r="C25" s="277">
        <f>92.28*(CONSTRC)</f>
        <v>92.28</v>
      </c>
      <c r="D25" s="277">
        <f>108.82*(CONSTRC)</f>
        <v>108.82</v>
      </c>
      <c r="E25" s="277">
        <f>112.85*(CONSTRC)</f>
        <v>112.85</v>
      </c>
      <c r="F25" s="285">
        <f>116.25*(CONSTRC)</f>
        <v>116.25</v>
      </c>
      <c r="G25" s="278">
        <f>164.53*(CONSTRC)</f>
        <v>164.53</v>
      </c>
      <c r="H25" s="43"/>
      <c r="I25" s="83">
        <v>400</v>
      </c>
      <c r="J25" s="276">
        <f>172.83*(CONSTRC)</f>
        <v>172.83</v>
      </c>
      <c r="K25" s="277">
        <f>182.08*(CONSTRC)</f>
        <v>182.08</v>
      </c>
      <c r="L25" s="277">
        <f>208.16*(CONSTRC)</f>
        <v>208.16</v>
      </c>
      <c r="M25" s="277">
        <f>215.69*(CONSTRC)</f>
        <v>215.69</v>
      </c>
      <c r="N25" s="277">
        <f>220.6*(CONSTRC)</f>
        <v>220.6</v>
      </c>
      <c r="O25" s="278">
        <f>229.17*(CONSTRC)</f>
        <v>229.17</v>
      </c>
      <c r="Q25" s="40" t="s">
        <v>183</v>
      </c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40" ht="15" x14ac:dyDescent="0.25">
      <c r="A26" s="84">
        <v>500</v>
      </c>
      <c r="B26" s="279">
        <f>96.77*(CONSTRC)</f>
        <v>96.77</v>
      </c>
      <c r="C26" s="280">
        <f>104.98*(CONSTRC)</f>
        <v>104.98</v>
      </c>
      <c r="D26" s="280">
        <f>122.9*(CONSTRC)</f>
        <v>122.9</v>
      </c>
      <c r="E26" s="280">
        <f>128.24*(CONSTRC)</f>
        <v>128.24</v>
      </c>
      <c r="F26" s="286">
        <f>131.73*(CONSTRC)</f>
        <v>131.72999999999999</v>
      </c>
      <c r="G26" s="281">
        <f>185.64*(CONSTRC)</f>
        <v>185.64</v>
      </c>
      <c r="H26" s="43"/>
      <c r="I26" s="84">
        <v>500</v>
      </c>
      <c r="J26" s="279">
        <f>184.38*(CONSTRC)</f>
        <v>184.38</v>
      </c>
      <c r="K26" s="280">
        <f>195.14*(CONSTRC)</f>
        <v>195.14</v>
      </c>
      <c r="L26" s="280">
        <f>224.74*(CONSTRC)</f>
        <v>224.74</v>
      </c>
      <c r="M26" s="280">
        <f>232.68*(CONSTRC)</f>
        <v>232.68</v>
      </c>
      <c r="N26" s="280">
        <f>238.41*(CONSTRC)</f>
        <v>238.41</v>
      </c>
      <c r="O26" s="281">
        <f>260.03*(CONSTRC)</f>
        <v>260.02999999999997</v>
      </c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</row>
    <row r="27" spans="1:40" ht="15" x14ac:dyDescent="0.25">
      <c r="A27" s="84">
        <v>600</v>
      </c>
      <c r="B27" s="279">
        <f>108.2*(CONSTRC)</f>
        <v>108.2</v>
      </c>
      <c r="C27" s="280">
        <f>117.16*(CONSTRC)</f>
        <v>117.16</v>
      </c>
      <c r="D27" s="280">
        <f>137.88*(CONSTRC)</f>
        <v>137.88</v>
      </c>
      <c r="E27" s="280">
        <f>143.41*(CONSTRC)</f>
        <v>143.41</v>
      </c>
      <c r="F27" s="286">
        <f>147.12*(CONSTRC)</f>
        <v>147.12</v>
      </c>
      <c r="G27" s="281">
        <f>207.28*(CONSTRC)</f>
        <v>207.28</v>
      </c>
      <c r="H27" s="43"/>
      <c r="I27" s="84">
        <v>600</v>
      </c>
      <c r="J27" s="279">
        <f>196.77*(CONSTRC)</f>
        <v>196.77</v>
      </c>
      <c r="K27" s="280">
        <f>208.84*(CONSTRC)</f>
        <v>208.84</v>
      </c>
      <c r="L27" s="280">
        <f>241.99*(CONSTRC)</f>
        <v>241.99</v>
      </c>
      <c r="M27" s="280">
        <f>251.2*(CONSTRC)</f>
        <v>251.2</v>
      </c>
      <c r="N27" s="280">
        <f>257.49*(CONSTRC)</f>
        <v>257.49</v>
      </c>
      <c r="O27" s="281">
        <f>295.15*(CONSTRC)</f>
        <v>295.14999999999998</v>
      </c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</row>
    <row r="28" spans="1:40" ht="15" x14ac:dyDescent="0.25">
      <c r="A28" s="84">
        <v>700</v>
      </c>
      <c r="B28" s="279">
        <f>118.45*(CONSTRC)</f>
        <v>118.45</v>
      </c>
      <c r="C28" s="280">
        <f>129.21*(CONSTRC)</f>
        <v>129.21</v>
      </c>
      <c r="D28" s="280">
        <f>152.5*(CONSTRC)</f>
        <v>152.5</v>
      </c>
      <c r="E28" s="280">
        <f>158.83*(CONSTRC)</f>
        <v>158.83000000000001</v>
      </c>
      <c r="F28" s="286">
        <f>163.6*(CONSTRC)</f>
        <v>163.6</v>
      </c>
      <c r="G28" s="281">
        <f>235.2*(CONSTRC)</f>
        <v>235.2</v>
      </c>
      <c r="H28" s="43"/>
      <c r="I28" s="84">
        <v>700</v>
      </c>
      <c r="J28" s="279">
        <f>209.73*(CONSTRC)</f>
        <v>209.73</v>
      </c>
      <c r="K28" s="280">
        <f>224.45*(CONSTRC)</f>
        <v>224.45</v>
      </c>
      <c r="L28" s="280">
        <f>260.45*(CONSTRC)</f>
        <v>260.45</v>
      </c>
      <c r="M28" s="280">
        <f>270.86*(CONSTRC)</f>
        <v>270.86</v>
      </c>
      <c r="N28" s="280">
        <f>277.95*(CONSTRC)</f>
        <v>277.95</v>
      </c>
      <c r="O28" s="281">
        <f>334.57*(CONSTRC)</f>
        <v>334.57</v>
      </c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</row>
    <row r="29" spans="1:40" ht="15" x14ac:dyDescent="0.25">
      <c r="A29" s="84">
        <v>800</v>
      </c>
      <c r="B29" s="279">
        <f>128.56*(CONSTRC)</f>
        <v>128.56</v>
      </c>
      <c r="C29" s="280">
        <f>140.97*(CONSTRC)</f>
        <v>140.97</v>
      </c>
      <c r="D29" s="280">
        <f>167.1*(CONSTRC)</f>
        <v>167.1</v>
      </c>
      <c r="E29" s="280">
        <f>174.74*(CONSTRC)</f>
        <v>174.74</v>
      </c>
      <c r="F29" s="286">
        <f>180.51*(CONSTRC)</f>
        <v>180.51</v>
      </c>
      <c r="G29" s="281">
        <f>262.35*(CONSTRC)</f>
        <v>262.35000000000002</v>
      </c>
      <c r="H29" s="43"/>
      <c r="I29" s="84">
        <v>800</v>
      </c>
      <c r="J29" s="279">
        <f>223.43*(CONSTRC)</f>
        <v>223.43</v>
      </c>
      <c r="K29" s="280">
        <f>240.08*(CONSTRC)</f>
        <v>240.08</v>
      </c>
      <c r="L29" s="280">
        <f>281.07*(CONSTRC)</f>
        <v>281.07</v>
      </c>
      <c r="M29" s="280">
        <f>292.31*(CONSTRC)</f>
        <v>292.31</v>
      </c>
      <c r="N29" s="280">
        <f>300.24*(CONSTRC)</f>
        <v>300.24</v>
      </c>
      <c r="O29" s="281">
        <f>378.45*(CONSTRC)</f>
        <v>378.45</v>
      </c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</row>
    <row r="30" spans="1:40" ht="15" x14ac:dyDescent="0.25">
      <c r="A30" s="84">
        <v>900</v>
      </c>
      <c r="B30" s="279">
        <f>138.81*(CONSTRC)</f>
        <v>138.81</v>
      </c>
      <c r="C30" s="280">
        <f>153.41*(CONSTRC)</f>
        <v>153.41</v>
      </c>
      <c r="D30" s="280">
        <f>182.47*(CONSTRC)</f>
        <v>182.47</v>
      </c>
      <c r="E30" s="280">
        <f>190.5*(CONSTRC)</f>
        <v>190.5</v>
      </c>
      <c r="F30" s="286">
        <f>196.77*(CONSTRC)</f>
        <v>196.77</v>
      </c>
      <c r="G30" s="281">
        <f>290*(CONSTRC)</f>
        <v>290</v>
      </c>
      <c r="H30" s="43"/>
      <c r="I30" s="84">
        <v>900</v>
      </c>
      <c r="J30" s="279">
        <f>237.74*(CONSTRC)</f>
        <v>237.74</v>
      </c>
      <c r="K30" s="280">
        <f>257.88*(CONSTRC)</f>
        <v>257.88</v>
      </c>
      <c r="L30" s="280">
        <f>302.4*(CONSTRC)</f>
        <v>302.39999999999998</v>
      </c>
      <c r="M30" s="280">
        <f>315.23*(CONSTRC)</f>
        <v>315.23</v>
      </c>
      <c r="N30" s="280">
        <f>324.05*(CONSTRC)</f>
        <v>324.05</v>
      </c>
      <c r="O30" s="281">
        <f>405.58*(CONSTRC)</f>
        <v>405.58</v>
      </c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</row>
    <row r="31" spans="1:40" ht="15" x14ac:dyDescent="0.25">
      <c r="A31" s="84">
        <v>1000</v>
      </c>
      <c r="B31" s="279">
        <f>148.63*(CONSTRC)</f>
        <v>148.63</v>
      </c>
      <c r="C31" s="280">
        <f>165.17*(CONSTRC)</f>
        <v>165.17</v>
      </c>
      <c r="D31" s="280">
        <f>196.77*(CONSTRC)</f>
        <v>196.77</v>
      </c>
      <c r="E31" s="280">
        <f>206.25*(CONSTRC)</f>
        <v>206.25</v>
      </c>
      <c r="F31" s="286">
        <f>213.57*(CONSTRC)</f>
        <v>213.57</v>
      </c>
      <c r="G31" s="281">
        <f>318.06*(CONSTRC)</f>
        <v>318.06</v>
      </c>
      <c r="H31" s="43"/>
      <c r="I31" s="84">
        <v>1000</v>
      </c>
      <c r="J31" s="279">
        <f>251.82*(CONSTRC)</f>
        <v>251.82</v>
      </c>
      <c r="K31" s="280">
        <f>275.01*(CONSTRC)</f>
        <v>275.01</v>
      </c>
      <c r="L31" s="280">
        <f>323.41*(CONSTRC)</f>
        <v>323.41000000000003</v>
      </c>
      <c r="M31" s="280">
        <f>337.37*(CONSTRC)</f>
        <v>337.37</v>
      </c>
      <c r="N31" s="280">
        <f>347.35*(CONSTRC)</f>
        <v>347.35</v>
      </c>
      <c r="O31" s="281">
        <f>434.54*(CONSTRC)</f>
        <v>434.54</v>
      </c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</row>
    <row r="32" spans="1:40" ht="15" x14ac:dyDescent="0.25">
      <c r="A32" s="84">
        <v>1100</v>
      </c>
      <c r="B32" s="279">
        <f>158.88*(CONSTRC)</f>
        <v>158.88</v>
      </c>
      <c r="C32" s="280">
        <f>177.99*(CONSTRC)</f>
        <v>177.99</v>
      </c>
      <c r="D32" s="280">
        <f>211.66*(CONSTRC)</f>
        <v>211.66</v>
      </c>
      <c r="E32" s="280">
        <f>221.63*(CONSTRC)</f>
        <v>221.63</v>
      </c>
      <c r="F32" s="286">
        <f>228.91*(CONSTRC)</f>
        <v>228.91</v>
      </c>
      <c r="G32" s="281">
        <f>345.09*(CONSTRC)</f>
        <v>345.09</v>
      </c>
      <c r="H32" s="43"/>
      <c r="I32" s="84">
        <v>1100</v>
      </c>
      <c r="J32" s="279">
        <f>265.77*(CONSTRC)</f>
        <v>265.77</v>
      </c>
      <c r="K32" s="280">
        <f>292.58*(CONSTRC)</f>
        <v>292.58</v>
      </c>
      <c r="L32" s="280">
        <f>345.09*(CONSTRC)</f>
        <v>345.09</v>
      </c>
      <c r="M32" s="280">
        <f>360.25*(CONSTRC)</f>
        <v>360.25</v>
      </c>
      <c r="N32" s="280">
        <f>371.19*(CONSTRC)</f>
        <v>371.19</v>
      </c>
      <c r="O32" s="281">
        <f>465.41*(CONSTRC)</f>
        <v>465.41</v>
      </c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</row>
    <row r="33" spans="1:40" ht="15" x14ac:dyDescent="0.25">
      <c r="A33" s="84">
        <v>1200</v>
      </c>
      <c r="B33" s="279">
        <f>168.1*(CONSTRC)</f>
        <v>168.1</v>
      </c>
      <c r="C33" s="280">
        <f>190.02*(CONSTRC)</f>
        <v>190.02</v>
      </c>
      <c r="D33" s="280">
        <f>226.64*(CONSTRC)</f>
        <v>226.64</v>
      </c>
      <c r="E33" s="280">
        <f>237.63*(CONSTRC)</f>
        <v>237.63</v>
      </c>
      <c r="F33" s="286">
        <f>246.08*(CONSTRC)</f>
        <v>246.08</v>
      </c>
      <c r="G33" s="281">
        <f>372.71*(CONSTRC)</f>
        <v>372.71</v>
      </c>
      <c r="H33" s="43"/>
      <c r="I33" s="84">
        <v>1200</v>
      </c>
      <c r="J33" s="279">
        <f>280.14*(CONSTRC)</f>
        <v>280.14</v>
      </c>
      <c r="K33" s="280">
        <f>309.72*(CONSTRC)</f>
        <v>309.72000000000003</v>
      </c>
      <c r="L33" s="280">
        <f>366.46*(CONSTRC)</f>
        <v>366.46</v>
      </c>
      <c r="M33" s="280">
        <f>383.02*(CONSTRC)</f>
        <v>383.02</v>
      </c>
      <c r="N33" s="280">
        <f>395.08*(CONSTRC)</f>
        <v>395.08</v>
      </c>
      <c r="O33" s="281">
        <f>498.8*(CONSTRC)</f>
        <v>498.8</v>
      </c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</row>
    <row r="34" spans="1:40" ht="15" x14ac:dyDescent="0.25">
      <c r="A34" s="84">
        <v>1400</v>
      </c>
      <c r="B34" s="279">
        <f>188.49*(CONSTRC)</f>
        <v>188.49</v>
      </c>
      <c r="C34" s="280">
        <f>214.57*(CONSTRC)</f>
        <v>214.57</v>
      </c>
      <c r="D34" s="280">
        <f>256.2*(CONSTRC)</f>
        <v>256.2</v>
      </c>
      <c r="E34" s="280">
        <f>269.29*(CONSTRC)</f>
        <v>269.29000000000002</v>
      </c>
      <c r="F34" s="286">
        <f>278.85*(CONSTRC)</f>
        <v>278.85000000000002</v>
      </c>
      <c r="G34" s="281">
        <f>427.88*(CONSTRC)</f>
        <v>427.88</v>
      </c>
      <c r="H34" s="43"/>
      <c r="I34" s="84">
        <v>1400</v>
      </c>
      <c r="J34" s="279">
        <f>308.44*(CONSTRC)</f>
        <v>308.44</v>
      </c>
      <c r="K34" s="280">
        <f>345.09*(CONSTRC)</f>
        <v>345.09</v>
      </c>
      <c r="L34" s="280">
        <f>408.41*(CONSTRC)</f>
        <v>408.41</v>
      </c>
      <c r="M34" s="280">
        <f>428.17*(CONSTRC)</f>
        <v>428.17</v>
      </c>
      <c r="N34" s="280">
        <f>442.11*(CONSTRC)</f>
        <v>442.11</v>
      </c>
      <c r="O34" s="281">
        <f>556.42*(CONSTRC)</f>
        <v>556.41999999999996</v>
      </c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</row>
    <row r="35" spans="1:40" ht="15" x14ac:dyDescent="0.25">
      <c r="A35" s="84">
        <v>1600</v>
      </c>
      <c r="B35" s="279">
        <f>208.55*(CONSTRC)</f>
        <v>208.55</v>
      </c>
      <c r="C35" s="280">
        <f>238.41*(CONSTRC)</f>
        <v>238.41</v>
      </c>
      <c r="D35" s="280">
        <f>285.91*(CONSTRC)</f>
        <v>285.91000000000003</v>
      </c>
      <c r="E35" s="280">
        <f>300.54*(CONSTRC)</f>
        <v>300.54000000000002</v>
      </c>
      <c r="F35" s="286">
        <f>311.63*(CONSTRC)</f>
        <v>311.63</v>
      </c>
      <c r="G35" s="281">
        <f>482.95*(CONSTRC)</f>
        <v>482.95</v>
      </c>
      <c r="H35" s="43"/>
      <c r="I35" s="84">
        <v>1600</v>
      </c>
      <c r="J35" s="279">
        <f>336.86*(CONSTRC)</f>
        <v>336.86</v>
      </c>
      <c r="K35" s="280">
        <f>379.51*(CONSTRC)</f>
        <v>379.51</v>
      </c>
      <c r="L35" s="280">
        <f>451.43*(CONSTRC)</f>
        <v>451.43</v>
      </c>
      <c r="M35" s="280">
        <f>473.48*(CONSTRC)</f>
        <v>473.48</v>
      </c>
      <c r="N35" s="280">
        <f>489.62*(CONSTRC)</f>
        <v>489.62</v>
      </c>
      <c r="O35" s="281">
        <f>612.74*(CONSTRC)</f>
        <v>612.74</v>
      </c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</row>
    <row r="36" spans="1:40" ht="15" x14ac:dyDescent="0.25">
      <c r="A36" s="84">
        <v>1800</v>
      </c>
      <c r="B36" s="279">
        <f>228.29*(CONSTRC)</f>
        <v>228.29</v>
      </c>
      <c r="C36" s="280">
        <f>262.99*(CONSTRC)</f>
        <v>262.99</v>
      </c>
      <c r="D36" s="280">
        <f>315.48*(CONSTRC)</f>
        <v>315.48</v>
      </c>
      <c r="E36" s="280">
        <f>332.01*(CONSTRC)</f>
        <v>332.01</v>
      </c>
      <c r="F36" s="286">
        <f>345.09*(CONSTRC)</f>
        <v>345.09</v>
      </c>
      <c r="G36" s="281">
        <f>538.27*(CONSTRC)</f>
        <v>538.27</v>
      </c>
      <c r="H36" s="43"/>
      <c r="I36" s="84">
        <v>1800</v>
      </c>
      <c r="J36" s="279">
        <f>356.58*(CONSTRC)</f>
        <v>356.58</v>
      </c>
      <c r="K36" s="280">
        <f>414.44*(CONSTRC)</f>
        <v>414.44</v>
      </c>
      <c r="L36" s="280">
        <f>494.33*(CONSTRC)</f>
        <v>494.33</v>
      </c>
      <c r="M36" s="280">
        <f>518.8*(CONSTRC)</f>
        <v>518.79999999999995</v>
      </c>
      <c r="N36" s="280">
        <f>537.36*(CONSTRC)</f>
        <v>537.36</v>
      </c>
      <c r="O36" s="281">
        <f>674.86*(CONSTRC)</f>
        <v>674.86</v>
      </c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</row>
    <row r="37" spans="1:40" ht="15" x14ac:dyDescent="0.25">
      <c r="A37" s="84">
        <v>2000</v>
      </c>
      <c r="B37" s="279">
        <f>248.27*(CONSTRC)</f>
        <v>248.27</v>
      </c>
      <c r="C37" s="280">
        <f>287.43*(CONSTRC)</f>
        <v>287.43</v>
      </c>
      <c r="D37" s="280">
        <f>345.42*(CONSTRC)</f>
        <v>345.42</v>
      </c>
      <c r="E37" s="280">
        <f>363.63*(CONSTRC)</f>
        <v>363.63</v>
      </c>
      <c r="F37" s="286">
        <f>377.59*(CONSTRC)</f>
        <v>377.59</v>
      </c>
      <c r="G37" s="281">
        <f>593.93*(CONSTRC)</f>
        <v>593.92999999999995</v>
      </c>
      <c r="H37" s="43"/>
      <c r="I37" s="84">
        <v>2000</v>
      </c>
      <c r="J37" s="279">
        <f>393.2*(CONSTRC)</f>
        <v>393.2</v>
      </c>
      <c r="K37" s="280">
        <f>449.51*(CONSTRC)</f>
        <v>449.51</v>
      </c>
      <c r="L37" s="280">
        <f>536.73*(CONSTRC)</f>
        <v>536.73</v>
      </c>
      <c r="M37" s="280">
        <f>564.15*(CONSTRC)</f>
        <v>564.15</v>
      </c>
      <c r="N37" s="280">
        <f>584.1*(CONSTRC)</f>
        <v>584.1</v>
      </c>
      <c r="O37" s="281">
        <f>729.26*(CONSTRC)</f>
        <v>729.26</v>
      </c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</row>
    <row r="38" spans="1:40" ht="15" x14ac:dyDescent="0.25">
      <c r="A38" s="84">
        <v>2300</v>
      </c>
      <c r="B38" s="279">
        <f>277.95*(CONSTRC)</f>
        <v>277.95</v>
      </c>
      <c r="C38" s="280">
        <f>324.05*(CONSTRC)</f>
        <v>324.05</v>
      </c>
      <c r="D38" s="280">
        <f>389.99*(CONSTRC)</f>
        <v>389.99</v>
      </c>
      <c r="E38" s="280">
        <f>411.26*(CONSTRC)</f>
        <v>411.26</v>
      </c>
      <c r="F38" s="286">
        <f>427.52*(CONSTRC)</f>
        <v>427.52</v>
      </c>
      <c r="G38" s="281">
        <f>671.67*(CONSTRC)</f>
        <v>671.67</v>
      </c>
      <c r="H38" s="43"/>
      <c r="I38" s="84">
        <v>2300</v>
      </c>
      <c r="J38" s="279">
        <f>435.86*(CONSTRC)</f>
        <v>435.86</v>
      </c>
      <c r="K38" s="280">
        <f>501.64*(CONSTRC)</f>
        <v>501.64</v>
      </c>
      <c r="L38" s="280">
        <f>601.03*(CONSTRC)</f>
        <v>601.03</v>
      </c>
      <c r="M38" s="280">
        <f>632.27*(CONSTRC)</f>
        <v>632.27</v>
      </c>
      <c r="N38" s="280">
        <f>655.79*(CONSTRC)</f>
        <v>655.79</v>
      </c>
      <c r="O38" s="281">
        <f>788.16*(CONSTRC)</f>
        <v>788.16</v>
      </c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</row>
    <row r="39" spans="1:40" ht="15" x14ac:dyDescent="0.25">
      <c r="A39" s="84">
        <v>2600</v>
      </c>
      <c r="B39" s="279">
        <f>308.44*(CONSTRC)</f>
        <v>308.44</v>
      </c>
      <c r="C39" s="280">
        <f>360.67*(CONSTRC)</f>
        <v>360.67</v>
      </c>
      <c r="D39" s="280">
        <f>434.54*(CONSTRC)</f>
        <v>434.54</v>
      </c>
      <c r="E39" s="280">
        <f>458.35*(CONSTRC)</f>
        <v>458.35</v>
      </c>
      <c r="F39" s="286">
        <f>476.8*(CONSTRC)</f>
        <v>476.8</v>
      </c>
      <c r="G39" s="281">
        <f>746.45*(CONSTRC)</f>
        <v>746.45</v>
      </c>
      <c r="H39" s="43"/>
      <c r="I39" s="84">
        <v>2600</v>
      </c>
      <c r="J39" s="279">
        <f>477.82*(CONSTRC)</f>
        <v>477.82</v>
      </c>
      <c r="K39" s="280">
        <f>553.64*(CONSTRC)</f>
        <v>553.64</v>
      </c>
      <c r="L39" s="280">
        <f>665.03*(CONSTRC)</f>
        <v>665.03</v>
      </c>
      <c r="M39" s="280">
        <f>700.55*(CONSTRC)</f>
        <v>700.55</v>
      </c>
      <c r="N39" s="280">
        <f>727.09*(CONSTRC)</f>
        <v>727.09</v>
      </c>
      <c r="O39" s="281">
        <f>873.19*(CONSTRC)</f>
        <v>873.19</v>
      </c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</row>
    <row r="40" spans="1:40" ht="15.75" thickBot="1" x14ac:dyDescent="0.3">
      <c r="A40" s="86">
        <v>3000</v>
      </c>
      <c r="B40" s="282">
        <f>348.25*(CONSTRC)</f>
        <v>348.25</v>
      </c>
      <c r="C40" s="283">
        <f>409.31*(CONSTRC)</f>
        <v>409.31</v>
      </c>
      <c r="D40" s="283">
        <f>494.33*(CONSTRC)</f>
        <v>494.33</v>
      </c>
      <c r="E40" s="283">
        <f>521.43*(CONSTRC)</f>
        <v>521.42999999999995</v>
      </c>
      <c r="F40" s="287">
        <f>542.46*(CONSTRC)</f>
        <v>542.46</v>
      </c>
      <c r="G40" s="284">
        <f>848.74*(CONSTRC)</f>
        <v>848.74</v>
      </c>
      <c r="H40" s="43"/>
      <c r="I40" s="86">
        <v>3000</v>
      </c>
      <c r="J40" s="282">
        <f>521.75*(CONSTRC)</f>
        <v>521.75</v>
      </c>
      <c r="K40" s="283">
        <f>609.96*(CONSTRC)</f>
        <v>609.96</v>
      </c>
      <c r="L40" s="283">
        <f>735.06*(CONSTRC)</f>
        <v>735.06</v>
      </c>
      <c r="M40" s="283">
        <f>775.23*(CONSTRC)</f>
        <v>775.23</v>
      </c>
      <c r="N40" s="283">
        <f>805.72*(CONSTRC)</f>
        <v>805.72</v>
      </c>
      <c r="O40" s="284">
        <f>968.08*(CONSTRC)</f>
        <v>968.08</v>
      </c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</row>
    <row r="41" spans="1:40" ht="13.5" thickTop="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</row>
    <row r="42" spans="1:40" x14ac:dyDescent="0.2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</row>
    <row r="43" spans="1:40" x14ac:dyDescent="0.2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</row>
    <row r="44" spans="1:40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</row>
    <row r="45" spans="1:40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</row>
    <row r="46" spans="1:40" x14ac:dyDescent="0.2"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</row>
    <row r="47" spans="1:40" x14ac:dyDescent="0.2"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</row>
    <row r="48" spans="1:40" x14ac:dyDescent="0.2"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</row>
    <row r="49" spans="24:40" x14ac:dyDescent="0.2"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</row>
    <row r="50" spans="24:40" x14ac:dyDescent="0.2"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</row>
    <row r="51" spans="24:40" x14ac:dyDescent="0.2"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</row>
  </sheetData>
  <mergeCells count="4">
    <mergeCell ref="H1:O1"/>
    <mergeCell ref="B4:G4"/>
    <mergeCell ref="J4:O4"/>
    <mergeCell ref="J23:O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workbookViewId="0">
      <selection activeCell="L3" sqref="L3"/>
    </sheetView>
  </sheetViews>
  <sheetFormatPr defaultRowHeight="12.75" x14ac:dyDescent="0.2"/>
  <cols>
    <col min="1" max="1" width="5.7109375" customWidth="1"/>
    <col min="2" max="6" width="6.28515625" customWidth="1"/>
    <col min="7" max="7" width="6.42578125" customWidth="1"/>
    <col min="8" max="8" width="0.42578125" customWidth="1"/>
    <col min="9" max="9" width="6" customWidth="1"/>
    <col min="10" max="12" width="6.28515625" customWidth="1"/>
    <col min="13" max="13" width="6.42578125" customWidth="1"/>
    <col min="14" max="14" width="6.5703125" customWidth="1"/>
    <col min="15" max="15" width="6.85546875" customWidth="1"/>
    <col min="16" max="16" width="0.42578125" customWidth="1"/>
    <col min="17" max="17" width="6" customWidth="1"/>
    <col min="18" max="18" width="6.28515625" customWidth="1"/>
    <col min="19" max="19" width="6.42578125" customWidth="1"/>
    <col min="20" max="20" width="6.7109375" customWidth="1"/>
    <col min="21" max="21" width="6.42578125" customWidth="1"/>
    <col min="22" max="22" width="6.5703125" customWidth="1"/>
    <col min="23" max="23" width="6.28515625" customWidth="1"/>
  </cols>
  <sheetData>
    <row r="1" spans="1:49" ht="18" customHeight="1" x14ac:dyDescent="0.25">
      <c r="A1" s="75"/>
      <c r="B1" s="44"/>
      <c r="C1" s="44"/>
      <c r="D1" s="44"/>
      <c r="E1" s="45"/>
      <c r="F1" s="45"/>
      <c r="G1" s="44"/>
      <c r="H1" s="708" t="s">
        <v>168</v>
      </c>
      <c r="I1" s="708"/>
      <c r="J1" s="708"/>
      <c r="K1" s="708"/>
      <c r="L1" s="708"/>
      <c r="M1" s="708"/>
      <c r="N1" s="708"/>
      <c r="O1" s="708"/>
      <c r="P1" s="44"/>
      <c r="Q1" s="44"/>
      <c r="R1" s="44"/>
      <c r="S1" s="44"/>
      <c r="T1" s="44"/>
      <c r="U1" s="44"/>
      <c r="V1" s="44"/>
      <c r="W1" s="44"/>
    </row>
    <row r="2" spans="1:49" ht="15" x14ac:dyDescent="0.2">
      <c r="A2" s="48" t="s">
        <v>171</v>
      </c>
      <c r="B2" s="49"/>
      <c r="C2" s="49"/>
      <c r="D2" s="49"/>
      <c r="E2" s="50"/>
      <c r="F2" s="50"/>
      <c r="G2" s="49"/>
      <c r="H2" s="49"/>
      <c r="I2" s="49"/>
      <c r="J2" s="49"/>
      <c r="K2" s="49"/>
      <c r="L2" s="49"/>
      <c r="M2" s="49"/>
      <c r="N2" s="49"/>
      <c r="O2" s="49"/>
      <c r="P2" s="387" t="s">
        <v>416</v>
      </c>
      <c r="R2" s="52"/>
      <c r="S2" s="52"/>
      <c r="T2" s="52"/>
      <c r="U2" s="43"/>
      <c r="W2" s="268"/>
    </row>
    <row r="3" spans="1:49" x14ac:dyDescent="0.2">
      <c r="H3" s="43"/>
      <c r="I3" s="265"/>
      <c r="J3" s="265"/>
      <c r="K3" s="85" t="s">
        <v>172</v>
      </c>
      <c r="L3" s="644">
        <v>0</v>
      </c>
      <c r="M3" s="265"/>
      <c r="N3" s="265"/>
      <c r="O3" s="265"/>
      <c r="P3" s="43"/>
      <c r="Q3" s="43"/>
      <c r="R3" s="43"/>
      <c r="S3" s="43"/>
      <c r="T3" s="43"/>
      <c r="U3" s="43"/>
      <c r="V3" s="43"/>
      <c r="W3" s="43"/>
    </row>
    <row r="4" spans="1:49" x14ac:dyDescent="0.2">
      <c r="H4" s="43"/>
      <c r="I4" s="148"/>
      <c r="J4" s="266"/>
      <c r="M4" s="266"/>
      <c r="N4" s="266"/>
      <c r="O4" s="266"/>
      <c r="Q4" s="43"/>
      <c r="R4" s="43"/>
      <c r="S4" s="43"/>
      <c r="T4" s="43"/>
      <c r="U4" s="43"/>
      <c r="V4" s="43"/>
      <c r="W4" s="43"/>
    </row>
    <row r="5" spans="1:49" ht="3" customHeight="1" thickBot="1" x14ac:dyDescent="0.25">
      <c r="H5" s="43"/>
      <c r="I5" s="148"/>
      <c r="J5" s="266"/>
      <c r="K5" s="266"/>
      <c r="L5" s="266"/>
      <c r="M5" s="266"/>
      <c r="N5" s="266"/>
      <c r="O5" s="266"/>
      <c r="P5" s="43"/>
      <c r="Q5" s="43"/>
      <c r="R5" s="43"/>
      <c r="S5" s="43"/>
      <c r="T5" s="43"/>
      <c r="U5" s="43"/>
      <c r="V5" s="43"/>
      <c r="W5" s="43"/>
    </row>
    <row r="6" spans="1:49" ht="14.25" thickTop="1" thickBot="1" x14ac:dyDescent="0.25">
      <c r="A6" s="78" t="s">
        <v>173</v>
      </c>
      <c r="B6" s="705" t="s">
        <v>174</v>
      </c>
      <c r="C6" s="706"/>
      <c r="D6" s="706"/>
      <c r="E6" s="706"/>
      <c r="F6" s="706"/>
      <c r="G6" s="707"/>
      <c r="H6" s="43"/>
      <c r="I6" s="78" t="s">
        <v>173</v>
      </c>
      <c r="J6" s="705" t="s">
        <v>174</v>
      </c>
      <c r="K6" s="706"/>
      <c r="L6" s="706"/>
      <c r="M6" s="706"/>
      <c r="N6" s="706"/>
      <c r="O6" s="707"/>
      <c r="P6" s="43"/>
      <c r="Q6" s="78" t="s">
        <v>173</v>
      </c>
      <c r="R6" s="705" t="s">
        <v>174</v>
      </c>
      <c r="S6" s="706"/>
      <c r="T6" s="706"/>
      <c r="U6" s="706"/>
      <c r="V6" s="706"/>
      <c r="W6" s="707"/>
    </row>
    <row r="7" spans="1:49" ht="14.25" thickTop="1" thickBot="1" x14ac:dyDescent="0.25">
      <c r="A7" s="78">
        <v>10</v>
      </c>
      <c r="B7" s="82">
        <v>300</v>
      </c>
      <c r="C7" s="79">
        <v>400</v>
      </c>
      <c r="D7" s="79">
        <v>450</v>
      </c>
      <c r="E7" s="80">
        <v>500</v>
      </c>
      <c r="F7" s="80">
        <v>600</v>
      </c>
      <c r="G7" s="81">
        <v>900</v>
      </c>
      <c r="H7" s="43"/>
      <c r="I7" s="78">
        <v>20</v>
      </c>
      <c r="J7" s="82">
        <v>300</v>
      </c>
      <c r="K7" s="79">
        <v>400</v>
      </c>
      <c r="L7" s="79">
        <v>450</v>
      </c>
      <c r="M7" s="80">
        <v>500</v>
      </c>
      <c r="N7" s="80">
        <v>600</v>
      </c>
      <c r="O7" s="81">
        <v>900</v>
      </c>
      <c r="P7" s="43"/>
      <c r="Q7" s="78">
        <v>30</v>
      </c>
      <c r="R7" s="82">
        <v>300</v>
      </c>
      <c r="S7" s="79">
        <v>400</v>
      </c>
      <c r="T7" s="79">
        <v>450</v>
      </c>
      <c r="U7" s="80">
        <v>500</v>
      </c>
      <c r="V7" s="80">
        <v>600</v>
      </c>
      <c r="W7" s="81">
        <v>900</v>
      </c>
      <c r="Y7" s="622"/>
      <c r="Z7" s="622"/>
      <c r="AA7" s="622"/>
      <c r="AB7" s="622"/>
    </row>
    <row r="8" spans="1:49" ht="13.5" thickTop="1" x14ac:dyDescent="0.2">
      <c r="A8" s="322">
        <v>400</v>
      </c>
      <c r="B8" s="325">
        <f>34.35*(KONSTHN)</f>
        <v>34.35</v>
      </c>
      <c r="C8" s="326">
        <f>38.34*(KONSTHN)</f>
        <v>38.340000000000003</v>
      </c>
      <c r="D8" s="326">
        <f>40.69*(KONSTHN)</f>
        <v>40.69</v>
      </c>
      <c r="E8" s="326">
        <f>40.39*(KONSTHN)</f>
        <v>40.39</v>
      </c>
      <c r="F8" s="326">
        <f>48.05*(KONSTHN)</f>
        <v>48.05</v>
      </c>
      <c r="G8" s="327">
        <f>58.22*(KONSTHN)</f>
        <v>58.22</v>
      </c>
      <c r="H8" s="43"/>
      <c r="I8" s="322">
        <v>400</v>
      </c>
      <c r="J8" s="325">
        <f>44.88*(KONSTHN)</f>
        <v>44.88</v>
      </c>
      <c r="K8" s="326">
        <f>49.15*(KONSTHN)</f>
        <v>49.15</v>
      </c>
      <c r="L8" s="326">
        <f>55.1*(KONSTHN)</f>
        <v>55.1</v>
      </c>
      <c r="M8" s="326">
        <f>60.57*(KONSTHN)</f>
        <v>60.57</v>
      </c>
      <c r="N8" s="572">
        <f>65.68*(KONSTHN)</f>
        <v>65.680000000000007</v>
      </c>
      <c r="O8" s="327">
        <f>98.98*(KONSTHN)</f>
        <v>98.98</v>
      </c>
      <c r="P8" s="43"/>
      <c r="Q8" s="322">
        <v>400</v>
      </c>
      <c r="R8" s="325">
        <f>104.71*(KONSTHN)</f>
        <v>104.71</v>
      </c>
      <c r="S8" s="326">
        <f>111.08*(KONSTHN)</f>
        <v>111.08</v>
      </c>
      <c r="T8" s="326">
        <f>119.22*(KONSTHN)</f>
        <v>119.22</v>
      </c>
      <c r="U8" s="326">
        <f>129.08*(KONSTHN)</f>
        <v>129.08000000000001</v>
      </c>
      <c r="V8" s="326">
        <f>137.66*(KONSTHN)</f>
        <v>137.66</v>
      </c>
      <c r="W8" s="327">
        <f>143.56*(KONSTHN)</f>
        <v>143.56</v>
      </c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</row>
    <row r="9" spans="1:49" x14ac:dyDescent="0.2">
      <c r="A9" s="323">
        <v>500</v>
      </c>
      <c r="B9" s="328">
        <f>37.96*(KONSTHN)</f>
        <v>37.96</v>
      </c>
      <c r="C9" s="329">
        <f>41.83*(KONSTHN)</f>
        <v>41.83</v>
      </c>
      <c r="D9" s="329">
        <f>44.89*(KONSTHN)</f>
        <v>44.89</v>
      </c>
      <c r="E9" s="329">
        <f>44.96*(KONSTHN)</f>
        <v>44.96</v>
      </c>
      <c r="F9" s="329">
        <f>50.55*(KONSTHN)</f>
        <v>50.55</v>
      </c>
      <c r="G9" s="330">
        <f>65.39*(KONSTHN)</f>
        <v>65.39</v>
      </c>
      <c r="H9" s="43"/>
      <c r="I9" s="323">
        <v>500</v>
      </c>
      <c r="J9" s="328">
        <f>52.25*(KONSTHN)</f>
        <v>52.25</v>
      </c>
      <c r="K9" s="329">
        <f>57.92*(KONSTHN)</f>
        <v>57.92</v>
      </c>
      <c r="L9" s="329">
        <f>64.81*(KONSTHN)</f>
        <v>64.81</v>
      </c>
      <c r="M9" s="329">
        <f>70.27*(KONSTHN)</f>
        <v>70.27</v>
      </c>
      <c r="N9" s="573">
        <f>76.36*(KONSTHN)</f>
        <v>76.36</v>
      </c>
      <c r="O9" s="330">
        <f>113.55*(KONSTHN)</f>
        <v>113.55</v>
      </c>
      <c r="P9" s="43"/>
      <c r="Q9" s="323">
        <v>500</v>
      </c>
      <c r="R9" s="328">
        <f>112.67*(KONSTHN)</f>
        <v>112.67</v>
      </c>
      <c r="S9" s="329">
        <f>120.09*(KONSTHN)</f>
        <v>120.09</v>
      </c>
      <c r="T9" s="329">
        <f>129.54*(KONSTHN)</f>
        <v>129.54</v>
      </c>
      <c r="U9" s="329">
        <f>140.5*(KONSTHN)</f>
        <v>140.5</v>
      </c>
      <c r="V9" s="329">
        <f>149.94*(KONSTHN)</f>
        <v>149.94</v>
      </c>
      <c r="W9" s="330">
        <f>164.84*(KONSTHN)</f>
        <v>164.84</v>
      </c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</row>
    <row r="10" spans="1:49" x14ac:dyDescent="0.2">
      <c r="A10" s="323">
        <v>600</v>
      </c>
      <c r="B10" s="328">
        <f>41.2*(KONSTHN)</f>
        <v>41.2</v>
      </c>
      <c r="C10" s="329">
        <f>45.81*(KONSTHN)</f>
        <v>45.81</v>
      </c>
      <c r="D10" s="329">
        <f>49.02*(KONSTHN)</f>
        <v>49.02</v>
      </c>
      <c r="E10" s="329">
        <f>49.85*(KONSTHN)</f>
        <v>49.85</v>
      </c>
      <c r="F10" s="329">
        <f>55.49*(KONSTHN)</f>
        <v>55.49</v>
      </c>
      <c r="G10" s="330">
        <f>72.61*(KONSTHN)</f>
        <v>72.61</v>
      </c>
      <c r="H10" s="43"/>
      <c r="I10" s="323">
        <v>600</v>
      </c>
      <c r="J10" s="328">
        <f>60.14*(KONSTHN)</f>
        <v>60.14</v>
      </c>
      <c r="K10" s="329">
        <f>66.32*(KONSTHN)</f>
        <v>66.319999999999993</v>
      </c>
      <c r="L10" s="329">
        <f>73.71*(KONSTHN)</f>
        <v>73.709999999999994</v>
      </c>
      <c r="M10" s="329">
        <f>80.6*(KONSTHN)</f>
        <v>80.599999999999994</v>
      </c>
      <c r="N10" s="573">
        <f>86.97*(KONSTHN)</f>
        <v>86.97</v>
      </c>
      <c r="O10" s="330">
        <f>128.47*(KONSTHN)</f>
        <v>128.47</v>
      </c>
      <c r="P10" s="43"/>
      <c r="Q10" s="323">
        <v>600</v>
      </c>
      <c r="R10" s="328">
        <f>121.22*(KONSTHN)</f>
        <v>121.22</v>
      </c>
      <c r="S10" s="329">
        <f>129.54*(KONSTHN)</f>
        <v>129.54</v>
      </c>
      <c r="T10" s="329">
        <f>140.92*(KONSTHN)</f>
        <v>140.91999999999999</v>
      </c>
      <c r="U10" s="329">
        <f>152.41*(KONSTHN)</f>
        <v>152.41</v>
      </c>
      <c r="V10" s="329">
        <f>163.09*(KONSTHN)</f>
        <v>163.09</v>
      </c>
      <c r="W10" s="330">
        <f>189.07*(KONSTHN)</f>
        <v>189.07</v>
      </c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</row>
    <row r="11" spans="1:49" x14ac:dyDescent="0.2">
      <c r="A11" s="323">
        <v>700</v>
      </c>
      <c r="B11" s="328">
        <f>44.09*(KONSTHN)</f>
        <v>44.09</v>
      </c>
      <c r="C11" s="329">
        <f>49.46*(KONSTHN)</f>
        <v>49.46</v>
      </c>
      <c r="D11" s="329">
        <f>53.03*(KONSTHN)</f>
        <v>53.03</v>
      </c>
      <c r="E11" s="329">
        <f>54.89*(KONSTHN)</f>
        <v>54.89</v>
      </c>
      <c r="F11" s="329">
        <f>60.48*(KONSTHN)</f>
        <v>60.48</v>
      </c>
      <c r="G11" s="330">
        <f>80.02*(KONSTHN)</f>
        <v>80.02</v>
      </c>
      <c r="H11" s="43"/>
      <c r="I11" s="323">
        <v>700</v>
      </c>
      <c r="J11" s="328">
        <f>67.2*(KONSTHN)</f>
        <v>67.2</v>
      </c>
      <c r="K11" s="329">
        <f>74.62*(KONSTHN)</f>
        <v>74.62</v>
      </c>
      <c r="L11" s="329">
        <f>82.73*(KONSTHN)</f>
        <v>82.73</v>
      </c>
      <c r="M11" s="329">
        <f>90.69*(KONSTHN)</f>
        <v>90.69</v>
      </c>
      <c r="N11" s="573">
        <f>98.35*(KONSTHN)</f>
        <v>98.35</v>
      </c>
      <c r="O11" s="330">
        <f>147.72*(KONSTHN)</f>
        <v>147.72</v>
      </c>
      <c r="P11" s="43"/>
      <c r="Q11" s="323">
        <v>700</v>
      </c>
      <c r="R11" s="328">
        <f>130.16*(KONSTHN)</f>
        <v>130.16</v>
      </c>
      <c r="S11" s="329">
        <f>140.3*(KONSTHN)</f>
        <v>140.30000000000001</v>
      </c>
      <c r="T11" s="329">
        <f>153.01*(KONSTHN)</f>
        <v>153.01</v>
      </c>
      <c r="U11" s="329">
        <f>165.14*(KONSTHN)</f>
        <v>165.14</v>
      </c>
      <c r="V11" s="329">
        <f>177.21*(KONSTHN)</f>
        <v>177.21</v>
      </c>
      <c r="W11" s="330">
        <f>216.25*(KONSTHN)</f>
        <v>216.25</v>
      </c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</row>
    <row r="12" spans="1:49" x14ac:dyDescent="0.2">
      <c r="A12" s="323">
        <v>800</v>
      </c>
      <c r="B12" s="328">
        <f>46.69*(KONSTHN)</f>
        <v>46.69</v>
      </c>
      <c r="C12" s="329">
        <f>52.91*(KONSTHN)</f>
        <v>52.91</v>
      </c>
      <c r="D12" s="329">
        <f>56.87*(KONSTHN)</f>
        <v>56.87</v>
      </c>
      <c r="E12" s="329">
        <f>58.91*(KONSTHN)</f>
        <v>58.91</v>
      </c>
      <c r="F12" s="329">
        <f>65.38*(KONSTHN)</f>
        <v>65.38</v>
      </c>
      <c r="G12" s="330">
        <f>87.07*(KONSTHN)</f>
        <v>87.07</v>
      </c>
      <c r="H12" s="43"/>
      <c r="I12" s="323">
        <v>800</v>
      </c>
      <c r="J12" s="328">
        <f>74.18*(KONSTHN)</f>
        <v>74.180000000000007</v>
      </c>
      <c r="K12" s="329">
        <f>82.73*(KONSTHN)</f>
        <v>82.73</v>
      </c>
      <c r="L12" s="329">
        <f>91.56*(KONSTHN)</f>
        <v>91.56</v>
      </c>
      <c r="M12" s="329">
        <f>100.75*(KONSTHN)</f>
        <v>100.75</v>
      </c>
      <c r="N12" s="573">
        <f>110*(KONSTHN)</f>
        <v>110</v>
      </c>
      <c r="O12" s="330">
        <f>166.45*(KONSTHN)</f>
        <v>166.45</v>
      </c>
      <c r="P12" s="43"/>
      <c r="Q12" s="323">
        <v>800</v>
      </c>
      <c r="R12" s="328">
        <f>139.61*(KONSTHN)</f>
        <v>139.61000000000001</v>
      </c>
      <c r="S12" s="329">
        <f>151.09*(KONSTHN)</f>
        <v>151.09</v>
      </c>
      <c r="T12" s="329">
        <f>166*(KONSTHN)</f>
        <v>166</v>
      </c>
      <c r="U12" s="329">
        <f>179.35*(KONSTHN)</f>
        <v>179.35</v>
      </c>
      <c r="V12" s="329">
        <f>192.58*(KONSTHN)</f>
        <v>192.58</v>
      </c>
      <c r="W12" s="330">
        <f>246.51*(KONSTHN)</f>
        <v>246.51</v>
      </c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</row>
    <row r="13" spans="1:49" x14ac:dyDescent="0.2">
      <c r="A13" s="323">
        <v>900</v>
      </c>
      <c r="B13" s="328">
        <f>50.29*(KONSTHN)</f>
        <v>50.29</v>
      </c>
      <c r="C13" s="329">
        <f>57.25*(KONSTHN)</f>
        <v>57.25</v>
      </c>
      <c r="D13" s="329">
        <f>61.47*(KONSTHN)</f>
        <v>61.47</v>
      </c>
      <c r="E13" s="329">
        <f>64.07*(KONSTHN)</f>
        <v>64.069999999999993</v>
      </c>
      <c r="F13" s="329">
        <f>70.04*(KONSTHN)</f>
        <v>70.040000000000006</v>
      </c>
      <c r="G13" s="330">
        <f>93.71*(KONSTHN)</f>
        <v>93.71</v>
      </c>
      <c r="H13" s="43"/>
      <c r="I13" s="323">
        <v>900</v>
      </c>
      <c r="J13" s="328">
        <f>81.25*(KONSTHN)</f>
        <v>81.25</v>
      </c>
      <c r="K13" s="329">
        <f>91.31*(KONSTHN)</f>
        <v>91.31</v>
      </c>
      <c r="L13" s="329">
        <f>101.02*(KONSTHN)</f>
        <v>101.02</v>
      </c>
      <c r="M13" s="329">
        <f>111.36*(KONSTHN)</f>
        <v>111.36</v>
      </c>
      <c r="N13" s="573">
        <f>121.22*(KONSTHN)</f>
        <v>121.22</v>
      </c>
      <c r="O13" s="330">
        <f>185.51*(KONSTHN)</f>
        <v>185.51</v>
      </c>
      <c r="P13" s="43"/>
      <c r="Q13" s="323">
        <v>900</v>
      </c>
      <c r="R13" s="328">
        <f>149.47*(KONSTHN)</f>
        <v>149.47</v>
      </c>
      <c r="S13" s="329">
        <f>163.37*(KONSTHN)</f>
        <v>163.37</v>
      </c>
      <c r="T13" s="329">
        <f>179.16*(KONSTHN)</f>
        <v>179.16</v>
      </c>
      <c r="U13" s="329">
        <f>194.07*(KONSTHN)</f>
        <v>194.07</v>
      </c>
      <c r="V13" s="329">
        <f>209*(KONSTHN)</f>
        <v>209</v>
      </c>
      <c r="W13" s="330">
        <f>265.23*(KONSTHN)</f>
        <v>265.23</v>
      </c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</row>
    <row r="14" spans="1:49" x14ac:dyDescent="0.2">
      <c r="A14" s="323">
        <v>1000</v>
      </c>
      <c r="B14" s="328">
        <f>53.38*(KONSTHN)</f>
        <v>53.38</v>
      </c>
      <c r="C14" s="329">
        <f>60.57*(KONSTHN)</f>
        <v>60.57</v>
      </c>
      <c r="D14" s="329">
        <f>65.41*(KONSTHN)</f>
        <v>65.41</v>
      </c>
      <c r="E14" s="329">
        <f>69.41*(KONSTHN)</f>
        <v>69.41</v>
      </c>
      <c r="F14" s="329">
        <f>75.24*(KONSTHN)</f>
        <v>75.239999999999995</v>
      </c>
      <c r="G14" s="330">
        <f>102.52*(KONSTHN)</f>
        <v>102.52</v>
      </c>
      <c r="H14" s="43"/>
      <c r="I14" s="323">
        <v>1000</v>
      </c>
      <c r="J14" s="328">
        <f>88.02*(KONSTHN)</f>
        <v>88.02</v>
      </c>
      <c r="K14" s="329">
        <f>99.42*(KONSTHN)</f>
        <v>99.42</v>
      </c>
      <c r="L14" s="329">
        <f>110.47*(KONSTHN)</f>
        <v>110.47</v>
      </c>
      <c r="M14" s="329">
        <f>121.22*(KONSTHN)</f>
        <v>121.22</v>
      </c>
      <c r="N14" s="573">
        <f>132.8*(KONSTHN)</f>
        <v>132.80000000000001</v>
      </c>
      <c r="O14" s="330">
        <f>204.86*(KONSTHN)</f>
        <v>204.86</v>
      </c>
      <c r="P14" s="43"/>
      <c r="Q14" s="323">
        <v>1000</v>
      </c>
      <c r="R14" s="328">
        <f>159.19*(KONSTHN)</f>
        <v>159.19</v>
      </c>
      <c r="S14" s="329">
        <f>175.17*(KONSTHN)</f>
        <v>175.17</v>
      </c>
      <c r="T14" s="329">
        <f>192.13*(KONSTHN)</f>
        <v>192.13</v>
      </c>
      <c r="U14" s="329">
        <f>208.55*(KONSTHN)</f>
        <v>208.55</v>
      </c>
      <c r="V14" s="329">
        <f>225.06*(KONSTHN)</f>
        <v>225.06</v>
      </c>
      <c r="W14" s="330">
        <f>285.2*(KONSTHN)</f>
        <v>285.2</v>
      </c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  <c r="AS14" s="482"/>
      <c r="AT14" s="482"/>
      <c r="AU14" s="482"/>
      <c r="AV14" s="482"/>
      <c r="AW14" s="482"/>
    </row>
    <row r="15" spans="1:49" x14ac:dyDescent="0.2">
      <c r="A15" s="323">
        <v>1100</v>
      </c>
      <c r="B15" s="328">
        <f>58.07*(KONSTHN)</f>
        <v>58.07</v>
      </c>
      <c r="C15" s="329">
        <f>66.19*(KONSTHN)</f>
        <v>66.19</v>
      </c>
      <c r="D15" s="329">
        <f>71.12*(KONSTHN)</f>
        <v>71.12</v>
      </c>
      <c r="E15" s="329">
        <f>74.94*(KONSTHN)</f>
        <v>74.94</v>
      </c>
      <c r="F15" s="329">
        <f>80.74*(KONSTHN)</f>
        <v>80.739999999999995</v>
      </c>
      <c r="G15" s="330">
        <f>111.36*(KONSTHN)</f>
        <v>111.36</v>
      </c>
      <c r="H15" s="43"/>
      <c r="I15" s="323">
        <v>1100</v>
      </c>
      <c r="J15" s="328">
        <f>95.09*(KONSTHN)</f>
        <v>95.09</v>
      </c>
      <c r="K15" s="329">
        <f>108.26*(KONSTHN)</f>
        <v>108.26</v>
      </c>
      <c r="L15" s="329">
        <f>119.46*(KONSTHN)</f>
        <v>119.46</v>
      </c>
      <c r="M15" s="329">
        <f>131.48*(KONSTHN)</f>
        <v>131.47999999999999</v>
      </c>
      <c r="N15" s="573">
        <f>143.39*(KONSTHN)</f>
        <v>143.38999999999999</v>
      </c>
      <c r="O15" s="330">
        <f>223.5*(KONSTHN)</f>
        <v>223.5</v>
      </c>
      <c r="P15" s="43"/>
      <c r="Q15" s="323">
        <v>1100</v>
      </c>
      <c r="R15" s="328">
        <f>168.8*(KONSTHN)</f>
        <v>168.8</v>
      </c>
      <c r="S15" s="329">
        <f>187.29*(KONSTHN)</f>
        <v>187.29</v>
      </c>
      <c r="T15" s="329">
        <f>205.29*(KONSTHN)</f>
        <v>205.29</v>
      </c>
      <c r="U15" s="329">
        <f>223.5*(KONSTHN)</f>
        <v>223.5</v>
      </c>
      <c r="V15" s="329">
        <f>241.5*(KONSTHN)</f>
        <v>241.5</v>
      </c>
      <c r="W15" s="330">
        <f>306.49*(KONSTHN)</f>
        <v>306.49</v>
      </c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</row>
    <row r="16" spans="1:49" x14ac:dyDescent="0.2">
      <c r="A16" s="323">
        <v>1200</v>
      </c>
      <c r="B16" s="328">
        <f>61.66*(KONSTHN)</f>
        <v>61.66</v>
      </c>
      <c r="C16" s="329">
        <f>70.53*(KONSTHN)</f>
        <v>70.53</v>
      </c>
      <c r="D16" s="329">
        <f>75.53*(KONSTHN)</f>
        <v>75.53</v>
      </c>
      <c r="E16" s="329">
        <f>80.29*(KONSTHN)</f>
        <v>80.290000000000006</v>
      </c>
      <c r="F16" s="329">
        <f>86.97*(KONSTHN)</f>
        <v>86.97</v>
      </c>
      <c r="G16" s="330">
        <f>120.15*(KONSTHN)</f>
        <v>120.15</v>
      </c>
      <c r="H16" s="43"/>
      <c r="I16" s="323">
        <v>1200</v>
      </c>
      <c r="J16" s="328">
        <f>101.45*(KONSTHN)</f>
        <v>101.45</v>
      </c>
      <c r="K16" s="329">
        <f>116.57*(KONSTHN)</f>
        <v>116.57</v>
      </c>
      <c r="L16" s="329">
        <f>128.21*(KONSTHN)</f>
        <v>128.21</v>
      </c>
      <c r="M16" s="329">
        <f>141.81*(KONSTHN)</f>
        <v>141.81</v>
      </c>
      <c r="N16" s="573">
        <f>155.22*(KONSTHN)</f>
        <v>155.22</v>
      </c>
      <c r="O16" s="330">
        <f>242.56*(KONSTHN)</f>
        <v>242.56</v>
      </c>
      <c r="P16" s="43"/>
      <c r="Q16" s="323">
        <v>1200</v>
      </c>
      <c r="R16" s="328">
        <f>178.72*(KONSTHN)</f>
        <v>178.72</v>
      </c>
      <c r="S16" s="329">
        <f>199.11*(KONSTHN)</f>
        <v>199.11</v>
      </c>
      <c r="T16" s="329">
        <f>218.44*(KONSTHN)</f>
        <v>218.44</v>
      </c>
      <c r="U16" s="329">
        <f>238.24*(KONSTHN)</f>
        <v>238.24</v>
      </c>
      <c r="V16" s="329">
        <f>257.99*(KONSTHN)</f>
        <v>257.99</v>
      </c>
      <c r="W16" s="330">
        <f>329.52*(KONSTHN)</f>
        <v>329.52</v>
      </c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</row>
    <row r="17" spans="1:49" x14ac:dyDescent="0.2">
      <c r="A17" s="323">
        <v>1400</v>
      </c>
      <c r="B17" s="328">
        <f>74.69*(KONSTHN)</f>
        <v>74.69</v>
      </c>
      <c r="C17" s="329">
        <f>85.15*(KONSTHN)</f>
        <v>85.15</v>
      </c>
      <c r="D17" s="329">
        <f>91.29*(KONSTHN)</f>
        <v>91.29</v>
      </c>
      <c r="E17" s="329">
        <f>91.1*(KONSTHN)</f>
        <v>91.1</v>
      </c>
      <c r="F17" s="329">
        <f>98.63*(KONSTHN)</f>
        <v>98.63</v>
      </c>
      <c r="G17" s="330">
        <f>138.38*(KONSTHN)</f>
        <v>138.38</v>
      </c>
      <c r="H17" s="43"/>
      <c r="I17" s="323">
        <v>1400</v>
      </c>
      <c r="J17" s="328">
        <f>115.5*(KONSTHN)</f>
        <v>115.5</v>
      </c>
      <c r="K17" s="329">
        <f>133.5*(KONSTHN)</f>
        <v>133.5</v>
      </c>
      <c r="L17" s="329">
        <f>146.68*(KONSTHN)</f>
        <v>146.68</v>
      </c>
      <c r="M17" s="329">
        <f>162.21*(KONSTHN)</f>
        <v>162.21</v>
      </c>
      <c r="N17" s="573">
        <f>177.82*(KONSTHN)</f>
        <v>177.82</v>
      </c>
      <c r="O17" s="330">
        <f>280.61*(KONSTHN)</f>
        <v>280.61</v>
      </c>
      <c r="P17" s="43"/>
      <c r="Q17" s="323">
        <v>1400</v>
      </c>
      <c r="R17" s="328">
        <f>198.23*(KONSTHN)</f>
        <v>198.23</v>
      </c>
      <c r="S17" s="329">
        <f>223.5*(KONSTHN)</f>
        <v>223.5</v>
      </c>
      <c r="T17" s="329">
        <f>244.32*(KONSTHN)</f>
        <v>244.32</v>
      </c>
      <c r="U17" s="329">
        <f>267.18*(KONSTHN)</f>
        <v>267.18</v>
      </c>
      <c r="V17" s="329">
        <f>290.41*(KONSTHN)</f>
        <v>290.41000000000003</v>
      </c>
      <c r="W17" s="330">
        <f>362*(KONSTHN)</f>
        <v>362</v>
      </c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</row>
    <row r="18" spans="1:49" x14ac:dyDescent="0.2">
      <c r="A18" s="323">
        <v>1600</v>
      </c>
      <c r="B18" s="328">
        <f>81.95*(KONSTHN)</f>
        <v>81.95</v>
      </c>
      <c r="C18" s="329">
        <f>93.47*(KONSTHN)</f>
        <v>93.47</v>
      </c>
      <c r="D18" s="329">
        <f>100.32*(KONSTHN)</f>
        <v>100.32</v>
      </c>
      <c r="E18" s="329">
        <f>102.1*(KONSTHN)</f>
        <v>102.1</v>
      </c>
      <c r="F18" s="329">
        <f>113.81*(KONSTHN)</f>
        <v>113.81</v>
      </c>
      <c r="G18" s="330">
        <f>152.87*(KONSTHN)</f>
        <v>152.87</v>
      </c>
      <c r="H18" s="43"/>
      <c r="I18" s="323">
        <v>1600</v>
      </c>
      <c r="J18" s="328">
        <f>129.34*(KONSTHN)</f>
        <v>129.34</v>
      </c>
      <c r="K18" s="329">
        <f>149.94*(KONSTHN)</f>
        <v>149.94</v>
      </c>
      <c r="L18" s="329">
        <f>164.84*(KONSTHN)</f>
        <v>164.84</v>
      </c>
      <c r="M18" s="329">
        <f>182.69*(KONSTHN)</f>
        <v>182.69</v>
      </c>
      <c r="N18" s="573">
        <f>200.44*(KONSTHN)</f>
        <v>200.44</v>
      </c>
      <c r="O18" s="330">
        <f>311.34*(KONSTHN)</f>
        <v>311.33999999999997</v>
      </c>
      <c r="P18" s="43"/>
      <c r="Q18" s="323">
        <v>1600</v>
      </c>
      <c r="R18" s="328">
        <f>217.84*(KONSTHN)</f>
        <v>217.84</v>
      </c>
      <c r="S18" s="329">
        <f>247.25*(KONSTHN)</f>
        <v>247.25</v>
      </c>
      <c r="T18" s="329">
        <f>270.44*(KONSTHN)</f>
        <v>270.44</v>
      </c>
      <c r="U18" s="329">
        <f>296.85*(KONSTHN)</f>
        <v>296.85000000000002</v>
      </c>
      <c r="V18" s="329">
        <f>323.19*(KONSTHN)</f>
        <v>323.19</v>
      </c>
      <c r="W18" s="330">
        <f>400.85*(KONSTHN)</f>
        <v>400.85</v>
      </c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</row>
    <row r="19" spans="1:49" x14ac:dyDescent="0.2">
      <c r="A19" s="323">
        <v>1800</v>
      </c>
      <c r="B19" s="328">
        <f>91.86*(KONSTHN)</f>
        <v>91.86</v>
      </c>
      <c r="C19" s="329">
        <f>105.07*(KONSTHN)</f>
        <v>105.07</v>
      </c>
      <c r="D19" s="329">
        <f>112.91*(KONSTHN)</f>
        <v>112.91</v>
      </c>
      <c r="E19" s="329">
        <f>112.92*(KONSTHN)</f>
        <v>112.92</v>
      </c>
      <c r="F19" s="329">
        <f>128.19*(KONSTHN)</f>
        <v>128.19</v>
      </c>
      <c r="G19" s="330">
        <f>171.74*(KONSTHN)</f>
        <v>171.74</v>
      </c>
      <c r="H19" s="43"/>
      <c r="I19" s="323">
        <v>1800</v>
      </c>
      <c r="J19" s="328">
        <f>142.95*(KONSTHN)</f>
        <v>142.94999999999999</v>
      </c>
      <c r="K19" s="329">
        <f>166.88*(KONSTHN)</f>
        <v>166.88</v>
      </c>
      <c r="L19" s="329">
        <f>183.12*(KONSTHN)</f>
        <v>183.12</v>
      </c>
      <c r="M19" s="329">
        <f>203.09*(KONSTHN)</f>
        <v>203.09</v>
      </c>
      <c r="N19" s="573">
        <f>223.5*(KONSTHN)</f>
        <v>223.5</v>
      </c>
      <c r="O19" s="330">
        <f>349.49*(KONSTHN)</f>
        <v>349.49</v>
      </c>
      <c r="P19" s="43"/>
      <c r="Q19" s="323">
        <v>1800</v>
      </c>
      <c r="R19" s="328">
        <f>231.44*(KONSTHN)</f>
        <v>231.44</v>
      </c>
      <c r="S19" s="329">
        <f>271.34*(KONSTHN)</f>
        <v>271.33999999999997</v>
      </c>
      <c r="T19" s="329">
        <f>296.6*(KONSTHN)</f>
        <v>296.60000000000002</v>
      </c>
      <c r="U19" s="329">
        <f>326.44*(KONSTHN)</f>
        <v>326.44</v>
      </c>
      <c r="V19" s="329">
        <f>356.1*(KONSTHN)</f>
        <v>356.1</v>
      </c>
      <c r="W19" s="330">
        <f>443.69*(KONSTHN)</f>
        <v>443.69</v>
      </c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</row>
    <row r="20" spans="1:49" x14ac:dyDescent="0.2">
      <c r="A20" s="323">
        <v>2000</v>
      </c>
      <c r="B20" s="328">
        <f>99.08*(KONSTHN)</f>
        <v>99.08</v>
      </c>
      <c r="C20" s="329">
        <f>108.9*(KONSTHN)</f>
        <v>108.9</v>
      </c>
      <c r="D20" s="329">
        <f>117.45*(KONSTHN)</f>
        <v>117.45</v>
      </c>
      <c r="E20" s="329">
        <f>120.29*(KONSTHN)</f>
        <v>120.29</v>
      </c>
      <c r="F20" s="329">
        <f>135*(KONSTHN)</f>
        <v>135</v>
      </c>
      <c r="G20" s="330">
        <f>189.39*(KONSTHN)</f>
        <v>189.39</v>
      </c>
      <c r="H20" s="43"/>
      <c r="I20" s="323">
        <v>2000</v>
      </c>
      <c r="J20" s="328">
        <f>156.73*(KONSTHN)</f>
        <v>156.72999999999999</v>
      </c>
      <c r="K20" s="329">
        <f>176.5*(KONSTHN)</f>
        <v>176.5</v>
      </c>
      <c r="L20" s="329">
        <f>194.33*(KONSTHN)</f>
        <v>194.33</v>
      </c>
      <c r="M20" s="329">
        <f>216.49*(KONSTHN)</f>
        <v>216.49</v>
      </c>
      <c r="N20" s="573">
        <f>238.67*(KONSTHN)</f>
        <v>238.67</v>
      </c>
      <c r="O20" s="330">
        <f>387.88*(KONSTHN)</f>
        <v>387.88</v>
      </c>
      <c r="P20" s="43"/>
      <c r="Q20" s="323">
        <v>2000</v>
      </c>
      <c r="R20" s="328">
        <f>256.68*(KONSTHN)</f>
        <v>256.68</v>
      </c>
      <c r="S20" s="329">
        <f>288.28*(KONSTHN)</f>
        <v>288.27999999999997</v>
      </c>
      <c r="T20" s="329">
        <f>315.67*(KONSTHN)</f>
        <v>315.67</v>
      </c>
      <c r="U20" s="329">
        <f>348.42*(KONSTHN)</f>
        <v>348.42</v>
      </c>
      <c r="V20" s="329">
        <f>381.1*(KONSTHN)</f>
        <v>381.1</v>
      </c>
      <c r="W20" s="330">
        <f>473.97*(KONSTHN)</f>
        <v>473.97</v>
      </c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</row>
    <row r="21" spans="1:49" x14ac:dyDescent="0.2">
      <c r="A21" s="323">
        <v>2300</v>
      </c>
      <c r="B21" s="328">
        <f>106.63*(KONSTHN)</f>
        <v>106.63</v>
      </c>
      <c r="C21" s="329">
        <f>123.23*(KONSTHN)</f>
        <v>123.23</v>
      </c>
      <c r="D21" s="329">
        <f>132.93*(KONSTHN)</f>
        <v>132.93</v>
      </c>
      <c r="E21" s="329">
        <f>136.44*(KONSTHN)</f>
        <v>136.44</v>
      </c>
      <c r="F21" s="329">
        <f>153.37*(KONSTHN)</f>
        <v>153.37</v>
      </c>
      <c r="G21" s="330">
        <f>211.33*(KONSTHN)</f>
        <v>211.33</v>
      </c>
      <c r="I21" s="323">
        <v>2300</v>
      </c>
      <c r="J21" s="328">
        <f>169.96*(KONSTHN)</f>
        <v>169.96</v>
      </c>
      <c r="K21" s="329">
        <f>201.75*(KONSTHN)</f>
        <v>201.75</v>
      </c>
      <c r="L21" s="329">
        <f>221.54*(KONSTHN)</f>
        <v>221.54</v>
      </c>
      <c r="M21" s="329">
        <f>247.23*(KONSTHN)</f>
        <v>247.23</v>
      </c>
      <c r="N21" s="573">
        <f>273.11*(KONSTHN)</f>
        <v>273.11</v>
      </c>
      <c r="O21" s="330">
        <f>441.49*(KONSTHN)</f>
        <v>441.49</v>
      </c>
      <c r="P21" s="43"/>
      <c r="Q21" s="323">
        <v>2300</v>
      </c>
      <c r="R21" s="328">
        <f>278.86*(KONSTHN)</f>
        <v>278.86</v>
      </c>
      <c r="S21" s="329">
        <f>324.22*(KONSTHN)</f>
        <v>324.22000000000003</v>
      </c>
      <c r="T21" s="329">
        <f>354.61*(KONSTHN)</f>
        <v>354.61</v>
      </c>
      <c r="U21" s="329">
        <f>392.77*(KONSTHN)</f>
        <v>392.77</v>
      </c>
      <c r="V21" s="329">
        <f>430.53*(KONSTHN)</f>
        <v>430.53</v>
      </c>
      <c r="W21" s="330">
        <f>514.59*(KONSTHN)</f>
        <v>514.59</v>
      </c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</row>
    <row r="22" spans="1:49" x14ac:dyDescent="0.2">
      <c r="A22" s="323">
        <v>2600</v>
      </c>
      <c r="B22" s="328">
        <f>117.1*(KONSTHN)</f>
        <v>117.1</v>
      </c>
      <c r="C22" s="329">
        <f>137.63*(KONSTHN)</f>
        <v>137.63</v>
      </c>
      <c r="D22" s="329">
        <f>148.23*(KONSTHN)</f>
        <v>148.22999999999999</v>
      </c>
      <c r="E22" s="329">
        <f>153.33*(KONSTHN)</f>
        <v>153.33000000000001</v>
      </c>
      <c r="F22" s="329">
        <f>174.66*(KONSTHN)</f>
        <v>174.66</v>
      </c>
      <c r="G22" s="330">
        <f>232.66*(KONSTHN)</f>
        <v>232.66</v>
      </c>
      <c r="I22" s="323">
        <v>2600</v>
      </c>
      <c r="J22" s="328">
        <f>190.99*(KONSTHN)</f>
        <v>190.99</v>
      </c>
      <c r="K22" s="329">
        <f>227*(KONSTHN)</f>
        <v>227</v>
      </c>
      <c r="L22" s="329">
        <f>249.17*(KONSTHN)</f>
        <v>249.17</v>
      </c>
      <c r="M22" s="329">
        <f>277.95*(KONSTHN)</f>
        <v>277.95</v>
      </c>
      <c r="N22" s="573">
        <f>307.1*(KONSTHN)</f>
        <v>307.10000000000002</v>
      </c>
      <c r="O22" s="330">
        <f>485.82*(KONSTHN)</f>
        <v>485.82</v>
      </c>
      <c r="P22" s="43"/>
      <c r="Q22" s="323">
        <v>2600</v>
      </c>
      <c r="R22" s="328">
        <f>307.8*(KONSTHN)</f>
        <v>307.8</v>
      </c>
      <c r="S22" s="329">
        <f>352.84*(KONSTHN)</f>
        <v>352.84</v>
      </c>
      <c r="T22" s="329">
        <f>386.39*(KONSTHN)</f>
        <v>386.39</v>
      </c>
      <c r="U22" s="329">
        <f>429.67*(KONSTHN)</f>
        <v>429.67</v>
      </c>
      <c r="V22" s="329">
        <f>472.47*(KONSTHN)</f>
        <v>472.47</v>
      </c>
      <c r="W22" s="330">
        <f>565.99*(KONSTHN)</f>
        <v>565.99</v>
      </c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</row>
    <row r="23" spans="1:49" ht="13.5" thickBot="1" x14ac:dyDescent="0.25">
      <c r="A23" s="324">
        <v>3000</v>
      </c>
      <c r="B23" s="331">
        <f>135.96*(KONSTHN)</f>
        <v>135.96</v>
      </c>
      <c r="C23" s="332">
        <f>153.09*(KONSTHN)</f>
        <v>153.09</v>
      </c>
      <c r="D23" s="332">
        <f>165.46*(KONSTHN)</f>
        <v>165.46</v>
      </c>
      <c r="E23" s="332">
        <f>171.37*(KONSTHN)</f>
        <v>171.37</v>
      </c>
      <c r="F23" s="332">
        <f>192.58*(KONSTHN)</f>
        <v>192.58</v>
      </c>
      <c r="G23" s="333">
        <f>265.21*(KONSTHN)</f>
        <v>265.20999999999998</v>
      </c>
      <c r="I23" s="324">
        <v>3000</v>
      </c>
      <c r="J23" s="331">
        <f>218.44*(KONSTHN)</f>
        <v>218.44</v>
      </c>
      <c r="K23" s="332">
        <f>253.31*(KONSTHN)</f>
        <v>253.31</v>
      </c>
      <c r="L23" s="332">
        <f>278.4*(KONSTHN)</f>
        <v>278.39999999999998</v>
      </c>
      <c r="M23" s="332">
        <f>311.95*(KONSTHN)</f>
        <v>311.95</v>
      </c>
      <c r="N23" s="574">
        <f>345.14*(KONSTHN)</f>
        <v>345.14</v>
      </c>
      <c r="O23" s="333">
        <f>556.36*(KONSTHN)</f>
        <v>556.36</v>
      </c>
      <c r="P23" s="43"/>
      <c r="Q23" s="324">
        <v>3000</v>
      </c>
      <c r="R23" s="331">
        <f>330.86*(KONSTHN)</f>
        <v>330.86</v>
      </c>
      <c r="S23" s="332">
        <f>391.69*(KONSTHN)</f>
        <v>391.69</v>
      </c>
      <c r="T23" s="332">
        <f>428.79*(KONSTHN)</f>
        <v>428.79</v>
      </c>
      <c r="U23" s="332">
        <f>477.97*(KONSTHN)</f>
        <v>477.97</v>
      </c>
      <c r="V23" s="332">
        <f>526.7*(KONSTHN)</f>
        <v>526.70000000000005</v>
      </c>
      <c r="W23" s="333">
        <f>631.42*(KONSTHN)</f>
        <v>631.41999999999996</v>
      </c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</row>
    <row r="24" spans="1:49" ht="6" customHeight="1" thickTop="1" x14ac:dyDescent="0.2">
      <c r="A24" s="4">
        <f>(1-L3)</f>
        <v>1</v>
      </c>
      <c r="B24" s="43">
        <f>KONSTHN</f>
        <v>1</v>
      </c>
      <c r="C24" s="43"/>
      <c r="D24" s="43"/>
      <c r="E24" s="43"/>
      <c r="F24" s="43"/>
      <c r="G24" s="43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</row>
    <row r="25" spans="1:49" ht="18" customHeight="1" x14ac:dyDescent="0.25">
      <c r="A25" s="75"/>
      <c r="B25" s="44"/>
      <c r="C25" s="44"/>
      <c r="D25" s="44"/>
      <c r="E25" s="45"/>
      <c r="F25" s="45"/>
      <c r="G25" s="44"/>
      <c r="H25" s="708" t="s">
        <v>169</v>
      </c>
      <c r="I25" s="708"/>
      <c r="J25" s="708"/>
      <c r="K25" s="708"/>
      <c r="L25" s="708"/>
      <c r="M25" s="708"/>
      <c r="N25" s="708"/>
      <c r="O25" s="708"/>
      <c r="P25" s="44"/>
      <c r="Q25" s="44"/>
      <c r="R25" s="44"/>
      <c r="S25" s="44"/>
      <c r="T25" s="44"/>
      <c r="U25" s="44"/>
      <c r="V25" s="44"/>
      <c r="W25" s="424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</row>
    <row r="26" spans="1:49" ht="6" customHeight="1" thickBot="1" x14ac:dyDescent="0.25"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</row>
    <row r="27" spans="1:49" ht="14.25" thickTop="1" thickBot="1" x14ac:dyDescent="0.25">
      <c r="A27" s="78" t="s">
        <v>173</v>
      </c>
      <c r="B27" s="705" t="s">
        <v>174</v>
      </c>
      <c r="C27" s="706"/>
      <c r="D27" s="706"/>
      <c r="E27" s="706"/>
      <c r="F27" s="707"/>
      <c r="I27" s="78" t="s">
        <v>173</v>
      </c>
      <c r="J27" s="705" t="s">
        <v>174</v>
      </c>
      <c r="K27" s="706"/>
      <c r="L27" s="706"/>
      <c r="M27" s="706"/>
      <c r="N27" s="707"/>
      <c r="O27" s="571"/>
      <c r="Q27" s="78" t="s">
        <v>173</v>
      </c>
      <c r="R27" s="705" t="s">
        <v>174</v>
      </c>
      <c r="S27" s="706"/>
      <c r="T27" s="706"/>
      <c r="U27" s="706"/>
      <c r="V27" s="707"/>
      <c r="W27" s="571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</row>
    <row r="28" spans="1:49" ht="14.25" thickTop="1" thickBot="1" x14ac:dyDescent="0.25">
      <c r="A28" s="78">
        <v>10</v>
      </c>
      <c r="B28" s="82">
        <v>300</v>
      </c>
      <c r="C28" s="79">
        <v>400</v>
      </c>
      <c r="D28" s="80">
        <v>500</v>
      </c>
      <c r="E28" s="80">
        <v>600</v>
      </c>
      <c r="F28" s="81">
        <v>900</v>
      </c>
      <c r="I28" s="78">
        <v>20</v>
      </c>
      <c r="J28" s="79">
        <v>300</v>
      </c>
      <c r="K28" s="79">
        <v>400</v>
      </c>
      <c r="L28" s="80">
        <v>500</v>
      </c>
      <c r="M28" s="80">
        <v>600</v>
      </c>
      <c r="N28" s="81">
        <v>900</v>
      </c>
      <c r="Q28" s="78">
        <v>30</v>
      </c>
      <c r="R28" s="79">
        <v>300</v>
      </c>
      <c r="S28" s="79">
        <v>400</v>
      </c>
      <c r="T28" s="80">
        <v>500</v>
      </c>
      <c r="U28" s="80">
        <v>600</v>
      </c>
      <c r="V28" s="81">
        <v>900</v>
      </c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</row>
    <row r="29" spans="1:49" ht="13.5" thickTop="1" x14ac:dyDescent="0.2">
      <c r="A29" s="322">
        <v>400</v>
      </c>
      <c r="B29" s="325">
        <f>58.11*(KONSTHN)</f>
        <v>58.11</v>
      </c>
      <c r="C29" s="572">
        <f>61.85*(KONSTHN)</f>
        <v>61.85</v>
      </c>
      <c r="D29" s="326">
        <f>63.54*(KONSTHN)</f>
        <v>63.54</v>
      </c>
      <c r="E29" s="326">
        <f>71.59*(KONSTHN)</f>
        <v>71.59</v>
      </c>
      <c r="F29" s="327">
        <f>81.15*(KONSTHN)</f>
        <v>81.150000000000006</v>
      </c>
      <c r="I29" s="322">
        <v>400</v>
      </c>
      <c r="J29" s="325">
        <f>71.03*(KONSTHN)</f>
        <v>71.03</v>
      </c>
      <c r="K29" s="575">
        <f>77.86*(KONSTHN)</f>
        <v>77.86</v>
      </c>
      <c r="L29" s="575">
        <f>89.27*(KONSTHN)</f>
        <v>89.27</v>
      </c>
      <c r="M29" s="575">
        <f>95.07*(KONSTHN)</f>
        <v>95.07</v>
      </c>
      <c r="N29" s="576">
        <f>128.96*(KONSTHN)</f>
        <v>128.96</v>
      </c>
      <c r="Q29" s="322">
        <v>400</v>
      </c>
      <c r="R29" s="575">
        <f>132*(KONSTHN)</f>
        <v>132</v>
      </c>
      <c r="S29" s="575">
        <f>138*(KONSTHN)</f>
        <v>138</v>
      </c>
      <c r="T29" s="575">
        <f>156.61*(KONSTHN)</f>
        <v>156.61000000000001</v>
      </c>
      <c r="U29" s="575">
        <f>165.75*(KONSTHN)</f>
        <v>165.75</v>
      </c>
      <c r="V29" s="576">
        <f>172.94*(KONSTHN)</f>
        <v>172.94</v>
      </c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</row>
    <row r="30" spans="1:49" x14ac:dyDescent="0.2">
      <c r="A30" s="323">
        <v>500</v>
      </c>
      <c r="B30" s="328">
        <f>61.39*(KONSTHN)</f>
        <v>61.39</v>
      </c>
      <c r="C30" s="573">
        <f>65.21*(KONSTHN)</f>
        <v>65.209999999999994</v>
      </c>
      <c r="D30" s="329">
        <f>66.83*(KONSTHN)</f>
        <v>66.83</v>
      </c>
      <c r="E30" s="329">
        <f>73.82*(KONSTHN)</f>
        <v>73.819999999999993</v>
      </c>
      <c r="F30" s="330">
        <f>88.18*(KONSTHN)</f>
        <v>88.18</v>
      </c>
      <c r="I30" s="323">
        <v>500</v>
      </c>
      <c r="J30" s="328">
        <f>79.94*(KONSTHN)</f>
        <v>79.94</v>
      </c>
      <c r="K30" s="577">
        <f>86.01*(KONSTHN)</f>
        <v>86.01</v>
      </c>
      <c r="L30" s="577">
        <f>99.22*(KONSTHN)</f>
        <v>99.22</v>
      </c>
      <c r="M30" s="577">
        <f>105.3*(KONSTHN)</f>
        <v>105.3</v>
      </c>
      <c r="N30" s="578">
        <f>143.43*(KONSTHN)</f>
        <v>143.43</v>
      </c>
      <c r="Q30" s="323">
        <v>500</v>
      </c>
      <c r="R30" s="577">
        <f>139.79*(KONSTHN)</f>
        <v>139.79</v>
      </c>
      <c r="S30" s="577">
        <f>146.91*(KONSTHN)</f>
        <v>146.91</v>
      </c>
      <c r="T30" s="577">
        <f>167.9*(KONSTHN)</f>
        <v>167.9</v>
      </c>
      <c r="U30" s="577">
        <f>177.55*(KONSTHN)</f>
        <v>177.55</v>
      </c>
      <c r="V30" s="578">
        <f>193.86*(KONSTHN)</f>
        <v>193.86</v>
      </c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</row>
    <row r="31" spans="1:49" x14ac:dyDescent="0.2">
      <c r="A31" s="323">
        <v>600</v>
      </c>
      <c r="B31" s="328">
        <f>64.68*(KONSTHN)</f>
        <v>64.680000000000007</v>
      </c>
      <c r="C31" s="573">
        <f>69.23*(KONSTHN)</f>
        <v>69.23</v>
      </c>
      <c r="D31" s="329">
        <f>71.05*(KONSTHN)</f>
        <v>71.05</v>
      </c>
      <c r="E31" s="329">
        <f>78.68*(KONSTHN)</f>
        <v>78.680000000000007</v>
      </c>
      <c r="F31" s="330">
        <f>95.72*(KONSTHN)</f>
        <v>95.72</v>
      </c>
      <c r="I31" s="323">
        <v>600</v>
      </c>
      <c r="J31" s="581">
        <f>87.94*(KONSTHN)</f>
        <v>87.94</v>
      </c>
      <c r="K31" s="577">
        <f>94.39*(KONSTHN)</f>
        <v>94.39</v>
      </c>
      <c r="L31" s="577">
        <f>109.09*(KONSTHN)</f>
        <v>109.09</v>
      </c>
      <c r="M31" s="577">
        <f>116.2*(KONSTHN)</f>
        <v>116.2</v>
      </c>
      <c r="N31" s="578">
        <f>157.82*(KONSTHN)</f>
        <v>157.82</v>
      </c>
      <c r="Q31" s="323">
        <v>600</v>
      </c>
      <c r="R31" s="577">
        <f>147.95*(KONSTHN)</f>
        <v>147.94999999999999</v>
      </c>
      <c r="S31" s="577">
        <f>156.61*(KONSTHN)</f>
        <v>156.61000000000001</v>
      </c>
      <c r="T31" s="577">
        <f>180.06*(KONSTHN)</f>
        <v>180.06</v>
      </c>
      <c r="U31" s="577">
        <f>190.73*(KONSTHN)</f>
        <v>190.73</v>
      </c>
      <c r="V31" s="578">
        <f>217.37*(KONSTHN)</f>
        <v>217.37</v>
      </c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</row>
    <row r="32" spans="1:49" x14ac:dyDescent="0.2">
      <c r="A32" s="323">
        <v>700</v>
      </c>
      <c r="B32" s="328">
        <f>67.19*(KONSTHN)</f>
        <v>67.19</v>
      </c>
      <c r="C32" s="573">
        <f>72.9*(KONSTHN)</f>
        <v>72.900000000000006</v>
      </c>
      <c r="D32" s="329">
        <f>75.34*(KONSTHN)</f>
        <v>75.34</v>
      </c>
      <c r="E32" s="329">
        <f>83.55*(KONSTHN)</f>
        <v>83.55</v>
      </c>
      <c r="F32" s="330">
        <f>102.76*(KONSTHN)</f>
        <v>102.76</v>
      </c>
      <c r="I32" s="323">
        <v>700</v>
      </c>
      <c r="J32" s="581">
        <f>94.7*(KONSTHN)</f>
        <v>94.7</v>
      </c>
      <c r="K32" s="577">
        <f>102.63*(KONSTHN)</f>
        <v>102.63</v>
      </c>
      <c r="L32" s="577">
        <f>119.09*(KONSTHN)</f>
        <v>119.09</v>
      </c>
      <c r="M32" s="577">
        <f>126.96*(KONSTHN)</f>
        <v>126.96</v>
      </c>
      <c r="N32" s="578">
        <f>176.87*(KONSTHN)</f>
        <v>176.87</v>
      </c>
      <c r="Q32" s="323">
        <v>700</v>
      </c>
      <c r="R32" s="577">
        <f>156.85*(KONSTHN)</f>
        <v>156.85</v>
      </c>
      <c r="S32" s="577">
        <f>167.01*(KONSTHN)</f>
        <v>167.01</v>
      </c>
      <c r="T32" s="577">
        <f>192.59*(KONSTHN)</f>
        <v>192.59</v>
      </c>
      <c r="U32" s="577">
        <f>204.84*(KONSTHN)</f>
        <v>204.84</v>
      </c>
      <c r="V32" s="578">
        <f>244.21*(KONSTHN)</f>
        <v>244.21</v>
      </c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</row>
    <row r="33" spans="1:49" x14ac:dyDescent="0.2">
      <c r="A33" s="323">
        <v>800</v>
      </c>
      <c r="B33" s="328">
        <f>69.9*(KONSTHN)</f>
        <v>69.900000000000006</v>
      </c>
      <c r="C33" s="573">
        <f>75.81*(KONSTHN)</f>
        <v>75.81</v>
      </c>
      <c r="D33" s="329">
        <f>78.82*(KONSTHN)</f>
        <v>78.819999999999993</v>
      </c>
      <c r="E33" s="329">
        <f>88.29*(KONSTHN)</f>
        <v>88.29</v>
      </c>
      <c r="F33" s="330">
        <f>109.64*(KONSTHN)</f>
        <v>109.64</v>
      </c>
      <c r="I33" s="323">
        <v>800</v>
      </c>
      <c r="J33" s="581">
        <f>101.74*(KONSTHN)</f>
        <v>101.74</v>
      </c>
      <c r="K33" s="577">
        <f>110.64*(KONSTHN)</f>
        <v>110.64</v>
      </c>
      <c r="L33" s="577">
        <f>129.41*(KONSTHN)</f>
        <v>129.41</v>
      </c>
      <c r="M33" s="577">
        <f>138.53*(KONSTHN)</f>
        <v>138.53</v>
      </c>
      <c r="N33" s="578">
        <f>195.11*(KONSTHN)</f>
        <v>195.11</v>
      </c>
      <c r="Q33" s="323">
        <v>800</v>
      </c>
      <c r="R33" s="577">
        <f>166.56*(KONSTHN)</f>
        <v>166.56</v>
      </c>
      <c r="S33" s="577">
        <f>177.83*(KONSTHN)</f>
        <v>177.83</v>
      </c>
      <c r="T33" s="577">
        <f>206.02*(KONSTHN)</f>
        <v>206.02</v>
      </c>
      <c r="U33" s="577">
        <f>219.96*(KONSTHN)</f>
        <v>219.96</v>
      </c>
      <c r="V33" s="578">
        <f>274.26*(KONSTHN)</f>
        <v>274.26</v>
      </c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</row>
    <row r="34" spans="1:49" x14ac:dyDescent="0.2">
      <c r="A34" s="323">
        <v>900</v>
      </c>
      <c r="B34" s="328">
        <f>73.46*(KONSTHN)</f>
        <v>73.459999999999994</v>
      </c>
      <c r="C34" s="573">
        <f>80.23*(KONSTHN)</f>
        <v>80.23</v>
      </c>
      <c r="D34" s="329">
        <f>83.37*(KONSTHN)</f>
        <v>83.37</v>
      </c>
      <c r="E34" s="329">
        <f>93.18*(KONSTHN)</f>
        <v>93.18</v>
      </c>
      <c r="F34" s="330">
        <f>116.29*(KONSTHN)</f>
        <v>116.29</v>
      </c>
      <c r="I34" s="323">
        <v>900</v>
      </c>
      <c r="J34" s="581">
        <f>108.5*(KONSTHN)</f>
        <v>108.5</v>
      </c>
      <c r="K34" s="577">
        <f>118.8*(KONSTHN)</f>
        <v>118.8</v>
      </c>
      <c r="L34" s="577">
        <f>139.34*(KONSTHN)</f>
        <v>139.34</v>
      </c>
      <c r="M34" s="577">
        <f>149.5*(KONSTHN)</f>
        <v>149.5</v>
      </c>
      <c r="N34" s="578">
        <f>214.18*(KONSTHN)</f>
        <v>214.18</v>
      </c>
      <c r="Q34" s="323">
        <v>900</v>
      </c>
      <c r="R34" s="577">
        <f>175.84*(KONSTHN)</f>
        <v>175.84</v>
      </c>
      <c r="S34" s="577">
        <f>189.55*(KONSTHN)</f>
        <v>189.55</v>
      </c>
      <c r="T34" s="577">
        <f>220.94*(KONSTHN)</f>
        <v>220.94</v>
      </c>
      <c r="U34" s="577">
        <f>235.92*(KONSTHN)</f>
        <v>235.92</v>
      </c>
      <c r="V34" s="578">
        <f>292.13*(KONSTHN)</f>
        <v>292.13</v>
      </c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</row>
    <row r="35" spans="1:49" x14ac:dyDescent="0.2">
      <c r="A35" s="323">
        <v>1000</v>
      </c>
      <c r="B35" s="328">
        <f>76.18*(KONSTHN)</f>
        <v>76.180000000000007</v>
      </c>
      <c r="C35" s="573">
        <f>83.53*(KONSTHN)</f>
        <v>83.53</v>
      </c>
      <c r="D35" s="329">
        <f>87.78*(KONSTHN)</f>
        <v>87.78</v>
      </c>
      <c r="E35" s="329">
        <f>98.12*(KONSTHN)</f>
        <v>98.12</v>
      </c>
      <c r="F35" s="330">
        <f>124.98*(KONSTHN)</f>
        <v>124.98</v>
      </c>
      <c r="I35" s="323">
        <v>1000</v>
      </c>
      <c r="J35" s="581">
        <f>115.39*(KONSTHN)</f>
        <v>115.39</v>
      </c>
      <c r="K35" s="577">
        <f>126.88*(KONSTHN)</f>
        <v>126.88</v>
      </c>
      <c r="L35" s="577">
        <f>149.28*(KONSTHN)</f>
        <v>149.28</v>
      </c>
      <c r="M35" s="577">
        <f>160.77*(KONSTHN)</f>
        <v>160.77000000000001</v>
      </c>
      <c r="N35" s="578">
        <f>232.8*(KONSTHN)</f>
        <v>232.8</v>
      </c>
      <c r="Q35" s="323">
        <v>1000</v>
      </c>
      <c r="R35" s="577">
        <f>185.11*(KONSTHN)</f>
        <v>185.11</v>
      </c>
      <c r="S35" s="577">
        <f>201.13*(KONSTHN)</f>
        <v>201.13</v>
      </c>
      <c r="T35" s="577">
        <f>235.24*(KONSTHN)</f>
        <v>235.24</v>
      </c>
      <c r="U35" s="577">
        <f>251.93*(KONSTHN)</f>
        <v>251.93</v>
      </c>
      <c r="V35" s="578">
        <f>311.94*(KONSTHN)</f>
        <v>311.94</v>
      </c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</row>
    <row r="36" spans="1:49" x14ac:dyDescent="0.2">
      <c r="A36" s="323">
        <v>1100</v>
      </c>
      <c r="B36" s="328">
        <f>81.08*(KONSTHN)</f>
        <v>81.08</v>
      </c>
      <c r="C36" s="573">
        <f>89.09*(KONSTHN)</f>
        <v>89.09</v>
      </c>
      <c r="D36" s="329">
        <f>93.07*(KONSTHN)</f>
        <v>93.07</v>
      </c>
      <c r="E36" s="329">
        <f>103.76*(KONSTHN)</f>
        <v>103.76</v>
      </c>
      <c r="F36" s="330">
        <f>133.73*(KONSTHN)</f>
        <v>133.72999999999999</v>
      </c>
      <c r="I36" s="323">
        <v>1100</v>
      </c>
      <c r="J36" s="581">
        <f>122.06*(KONSTHN)</f>
        <v>122.06</v>
      </c>
      <c r="K36" s="577">
        <f>135.42*(KONSTHN)</f>
        <v>135.41999999999999</v>
      </c>
      <c r="L36" s="577">
        <f>159.22*(KONSTHN)</f>
        <v>159.22</v>
      </c>
      <c r="M36" s="577">
        <f>171.53*(KONSTHN)</f>
        <v>171.53</v>
      </c>
      <c r="N36" s="578">
        <f>251.34*(KONSTHN)</f>
        <v>251.34</v>
      </c>
      <c r="Q36" s="323">
        <v>1100</v>
      </c>
      <c r="R36" s="577">
        <f>194.97*(KONSTHN)</f>
        <v>194.97</v>
      </c>
      <c r="S36" s="577">
        <f>213.13*(KONSTHN)</f>
        <v>213.13</v>
      </c>
      <c r="T36" s="577">
        <f>249.78*(KONSTHN)</f>
        <v>249.78</v>
      </c>
      <c r="U36" s="577">
        <f>268.02*(KONSTHN)</f>
        <v>268.02</v>
      </c>
      <c r="V36" s="578">
        <f>332.93*(KONSTHN)</f>
        <v>332.93</v>
      </c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</row>
    <row r="37" spans="1:49" x14ac:dyDescent="0.2">
      <c r="A37" s="323">
        <v>1200</v>
      </c>
      <c r="B37" s="328">
        <f>84.58*(KONSTHN)</f>
        <v>84.58</v>
      </c>
      <c r="C37" s="573">
        <f>93.38*(KONSTHN)</f>
        <v>93.38</v>
      </c>
      <c r="D37" s="329">
        <f>97.61*(KONSTHN)</f>
        <v>97.61</v>
      </c>
      <c r="E37" s="329">
        <f>109.56*(KONSTHN)</f>
        <v>109.56</v>
      </c>
      <c r="F37" s="330">
        <f>142.41*(KONSTHN)</f>
        <v>142.41</v>
      </c>
      <c r="I37" s="323">
        <v>1200</v>
      </c>
      <c r="J37" s="581">
        <f>128.59*(KONSTHN)</f>
        <v>128.59</v>
      </c>
      <c r="K37" s="577">
        <f>143.65*(KONSTHN)</f>
        <v>143.65</v>
      </c>
      <c r="L37" s="577">
        <f>169.23*(KONSTHN)</f>
        <v>169.23</v>
      </c>
      <c r="M37" s="577">
        <f>182.95*(KONSTHN)</f>
        <v>182.95</v>
      </c>
      <c r="N37" s="578">
        <f>270.32*(KONSTHN)</f>
        <v>270.32</v>
      </c>
      <c r="Q37" s="323">
        <v>1200</v>
      </c>
      <c r="R37" s="577">
        <f>204.53*(KONSTHN)</f>
        <v>204.53</v>
      </c>
      <c r="S37" s="577">
        <f>225.31*(KONSTHN)</f>
        <v>225.31</v>
      </c>
      <c r="T37" s="577">
        <f>264.39*(KONSTHN)</f>
        <v>264.39</v>
      </c>
      <c r="U37" s="577">
        <f>284.04*(KONSTHN)</f>
        <v>284.04000000000002</v>
      </c>
      <c r="V37" s="578">
        <f>355.32*(KONSTHN)</f>
        <v>355.32</v>
      </c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</row>
    <row r="38" spans="1:49" x14ac:dyDescent="0.2">
      <c r="A38" s="323">
        <v>1400</v>
      </c>
      <c r="B38" s="328">
        <f>97.63*(KONSTHN)</f>
        <v>97.63</v>
      </c>
      <c r="C38" s="573">
        <f>107.98*(KONSTHN)</f>
        <v>107.98</v>
      </c>
      <c r="D38" s="329">
        <f>110.13*(KONSTHN)</f>
        <v>110.13</v>
      </c>
      <c r="E38" s="329">
        <f>121.18*(KONSTHN)</f>
        <v>121.18</v>
      </c>
      <c r="F38" s="330">
        <f>160.59*(KONSTHN)</f>
        <v>160.59</v>
      </c>
      <c r="I38" s="323">
        <v>1400</v>
      </c>
      <c r="J38" s="581">
        <f>142.16*(KONSTHN)</f>
        <v>142.16</v>
      </c>
      <c r="K38" s="577">
        <f>160.18*(KONSTHN)</f>
        <v>160.18</v>
      </c>
      <c r="L38" s="577">
        <f>189.49*(KONSTHN)</f>
        <v>189.49</v>
      </c>
      <c r="M38" s="577">
        <f>205.43*(KONSTHN)</f>
        <v>205.43</v>
      </c>
      <c r="N38" s="578">
        <f>307.7*(KONSTHN)</f>
        <v>307.7</v>
      </c>
      <c r="Q38" s="323">
        <v>1400</v>
      </c>
      <c r="R38" s="577">
        <f>223.83*(KONSTHN)</f>
        <v>223.83</v>
      </c>
      <c r="S38" s="577">
        <f>248.67*(KONSTHN)</f>
        <v>248.67</v>
      </c>
      <c r="T38" s="577">
        <f>293.03*(KONSTHN)</f>
        <v>293.02999999999997</v>
      </c>
      <c r="U38" s="577">
        <f>315.94*(KONSTHN)</f>
        <v>315.94</v>
      </c>
      <c r="V38" s="578">
        <f>387.46*(KONSTHN)</f>
        <v>387.46</v>
      </c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</row>
    <row r="39" spans="1:49" x14ac:dyDescent="0.2">
      <c r="A39" s="323">
        <v>1600</v>
      </c>
      <c r="B39" s="328">
        <f>104.44*(KONSTHN)</f>
        <v>104.44</v>
      </c>
      <c r="C39" s="573">
        <f>116.14*(KONSTHN)</f>
        <v>116.14</v>
      </c>
      <c r="D39" s="329">
        <f>119.44*(KONSTHN)</f>
        <v>119.44</v>
      </c>
      <c r="E39" s="329">
        <f>135.97*(KONSTHN)</f>
        <v>135.97</v>
      </c>
      <c r="F39" s="330">
        <f>174.43*(KONSTHN)</f>
        <v>174.43</v>
      </c>
      <c r="I39" s="323">
        <v>1600</v>
      </c>
      <c r="J39" s="581">
        <f>155.74*(KONSTHN)</f>
        <v>155.74</v>
      </c>
      <c r="K39" s="577">
        <f>176.58*(KONSTHN)</f>
        <v>176.58</v>
      </c>
      <c r="L39" s="577">
        <f>209.59*(KONSTHN)</f>
        <v>209.59</v>
      </c>
      <c r="M39" s="577">
        <f>227.52*(KONSTHN)</f>
        <v>227.52</v>
      </c>
      <c r="N39" s="578">
        <f>337.83*(KONSTHN)</f>
        <v>337.83</v>
      </c>
      <c r="Q39" s="323">
        <v>1600</v>
      </c>
      <c r="R39" s="577">
        <f>242.96*(KONSTHN)</f>
        <v>242.96</v>
      </c>
      <c r="S39" s="577">
        <f>272.11*(KONSTHN)</f>
        <v>272.11</v>
      </c>
      <c r="T39" s="577">
        <f>322.09*(KONSTHN)</f>
        <v>322.08999999999997</v>
      </c>
      <c r="U39" s="577">
        <f>348.36*(KONSTHN)</f>
        <v>348.36</v>
      </c>
      <c r="V39" s="578">
        <f>425.66*(KONSTHN)</f>
        <v>425.66</v>
      </c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</row>
    <row r="40" spans="1:49" x14ac:dyDescent="0.2">
      <c r="A40" s="323">
        <v>1800</v>
      </c>
      <c r="B40" s="328">
        <f>115*(KONSTHN)</f>
        <v>115</v>
      </c>
      <c r="C40" s="329">
        <f>127.77*(KONSTHN)</f>
        <v>127.77</v>
      </c>
      <c r="D40" s="329">
        <f>130.61*(KONSTHN)</f>
        <v>130.61000000000001</v>
      </c>
      <c r="E40" s="329">
        <f>150.45*(KONSTHN)</f>
        <v>150.44999999999999</v>
      </c>
      <c r="F40" s="330">
        <f>192.87*(KONSTHN)</f>
        <v>192.87</v>
      </c>
      <c r="I40" s="323">
        <v>1800</v>
      </c>
      <c r="J40" s="581">
        <f>169.6*(KONSTHN)</f>
        <v>169.6</v>
      </c>
      <c r="K40" s="577">
        <f>192.9*(KONSTHN)</f>
        <v>192.9</v>
      </c>
      <c r="L40" s="577">
        <f>229.82*(KONSTHN)</f>
        <v>229.82</v>
      </c>
      <c r="M40" s="577">
        <f>249.94*(KONSTHN)</f>
        <v>249.94</v>
      </c>
      <c r="N40" s="578">
        <f>375.15*(KONSTHN)</f>
        <v>375.15</v>
      </c>
      <c r="Q40" s="323">
        <v>1800</v>
      </c>
      <c r="R40" s="577">
        <f>256.3*(KONSTHN)</f>
        <v>256.3</v>
      </c>
      <c r="S40" s="577">
        <f>295.92*(KONSTHN)</f>
        <v>295.92</v>
      </c>
      <c r="T40" s="577">
        <f>350.8*(KONSTHN)</f>
        <v>350.8</v>
      </c>
      <c r="U40" s="577">
        <f>380.24*(KONSTHN)</f>
        <v>380.24</v>
      </c>
      <c r="V40" s="578">
        <f>467.49*(KONSTHN)</f>
        <v>467.49</v>
      </c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</row>
    <row r="41" spans="1:49" x14ac:dyDescent="0.2">
      <c r="A41" s="323">
        <v>2000</v>
      </c>
      <c r="B41" s="328">
        <f>121.67*(KONSTHN)</f>
        <v>121.67</v>
      </c>
      <c r="C41" s="329">
        <f>130.98*(KONSTHN)</f>
        <v>130.97999999999999</v>
      </c>
      <c r="D41" s="329">
        <f>135.95*(KONSTHN)</f>
        <v>135.94999999999999</v>
      </c>
      <c r="E41" s="329">
        <f>156.83*(KONSTHN)</f>
        <v>156.83000000000001</v>
      </c>
      <c r="F41" s="330">
        <f>210.47*(KONSTHN)</f>
        <v>210.47</v>
      </c>
      <c r="I41" s="323">
        <v>2000</v>
      </c>
      <c r="J41" s="581">
        <f>183.11*(KONSTHN)</f>
        <v>183.11</v>
      </c>
      <c r="K41" s="577">
        <f>202.62*(KONSTHN)</f>
        <v>202.62</v>
      </c>
      <c r="L41" s="577">
        <f>242.69*(KONSTHN)</f>
        <v>242.69</v>
      </c>
      <c r="M41" s="577">
        <f>264.93*(KONSTHN)</f>
        <v>264.93</v>
      </c>
      <c r="N41" s="578">
        <f>413.05*(KONSTHN)</f>
        <v>413.05</v>
      </c>
      <c r="Q41" s="323">
        <v>2000</v>
      </c>
      <c r="R41" s="577">
        <f>281.16*(KONSTHN)</f>
        <v>281.16000000000003</v>
      </c>
      <c r="S41" s="577">
        <f>312.17*(KONSTHN)</f>
        <v>312.17</v>
      </c>
      <c r="T41" s="577">
        <f>372.33*(KONSTHN)</f>
        <v>372.33</v>
      </c>
      <c r="U41" s="577">
        <f>405.56*(KONSTHN)</f>
        <v>405.56</v>
      </c>
      <c r="V41" s="578">
        <f>497.41*(KONSTHN)</f>
        <v>497.41</v>
      </c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</row>
    <row r="42" spans="1:49" x14ac:dyDescent="0.2">
      <c r="A42" s="323">
        <v>2300</v>
      </c>
      <c r="B42" s="328">
        <f>128.89*(KONSTHN)</f>
        <v>128.88999999999999</v>
      </c>
      <c r="C42" s="329">
        <f>145.21*(KONSTHN)</f>
        <v>145.21</v>
      </c>
      <c r="D42" s="329">
        <f>150.78*(KONSTHN)</f>
        <v>150.78</v>
      </c>
      <c r="E42" s="329">
        <f>174.79*(KONSTHN)</f>
        <v>174.79</v>
      </c>
      <c r="F42" s="330">
        <f>232.5*(KONSTHN)</f>
        <v>232.5</v>
      </c>
      <c r="I42" s="323">
        <v>2300</v>
      </c>
      <c r="J42" s="581">
        <f>196.25*(KONSTHN)</f>
        <v>196.25</v>
      </c>
      <c r="K42" s="577">
        <f>227.26*(KONSTHN)</f>
        <v>227.26</v>
      </c>
      <c r="L42" s="577">
        <f>273.1*(KONSTHN)</f>
        <v>273.10000000000002</v>
      </c>
      <c r="M42" s="577">
        <f>298.68*(KONSTHN)</f>
        <v>298.68</v>
      </c>
      <c r="N42" s="578">
        <f>465.78*(KONSTHN)</f>
        <v>465.78</v>
      </c>
      <c r="Q42" s="323">
        <v>2300</v>
      </c>
      <c r="R42" s="577">
        <f>302.75*(KONSTHN)</f>
        <v>302.75</v>
      </c>
      <c r="S42" s="577">
        <f>347.85*(KONSTHN)</f>
        <v>347.85</v>
      </c>
      <c r="T42" s="577">
        <f>416.09*(KONSTHN)</f>
        <v>416.09</v>
      </c>
      <c r="U42" s="577">
        <f>453.56*(KONSTHN)</f>
        <v>453.56</v>
      </c>
      <c r="V42" s="578">
        <f>537.02*(KONSTHN)</f>
        <v>537.02</v>
      </c>
      <c r="Y42" s="482"/>
      <c r="Z42" s="482"/>
      <c r="AA42" s="482"/>
      <c r="AB42" s="482"/>
      <c r="AC42" s="482"/>
      <c r="AD42" s="482"/>
      <c r="AE42" s="482"/>
      <c r="AF42" s="482"/>
      <c r="AG42" s="482"/>
      <c r="AH42" s="482"/>
      <c r="AI42" s="482"/>
      <c r="AJ42" s="482"/>
      <c r="AK42" s="482"/>
      <c r="AL42" s="482"/>
      <c r="AM42" s="482"/>
      <c r="AN42" s="482"/>
      <c r="AO42" s="482"/>
      <c r="AP42" s="482"/>
      <c r="AQ42" s="482"/>
      <c r="AR42" s="482"/>
      <c r="AS42" s="482"/>
      <c r="AT42" s="482"/>
      <c r="AU42" s="482"/>
      <c r="AV42" s="482"/>
      <c r="AW42" s="482"/>
    </row>
    <row r="43" spans="1:49" x14ac:dyDescent="0.2">
      <c r="A43" s="323">
        <v>2600</v>
      </c>
      <c r="B43" s="328">
        <f>139.33*(KONSTHN)</f>
        <v>139.33000000000001</v>
      </c>
      <c r="C43" s="329">
        <f>159.52*(KONSTHN)</f>
        <v>159.52000000000001</v>
      </c>
      <c r="D43" s="329">
        <f>165.89*(KONSTHN)</f>
        <v>165.89</v>
      </c>
      <c r="E43" s="329">
        <f>195.96*(KONSTHN)</f>
        <v>195.96</v>
      </c>
      <c r="F43" s="330">
        <f>252.85*(KONSTHN)</f>
        <v>252.85</v>
      </c>
      <c r="I43" s="323">
        <v>2600</v>
      </c>
      <c r="J43" s="581">
        <f>216.58*(KONSTHN)</f>
        <v>216.58</v>
      </c>
      <c r="K43" s="577">
        <f>252.18*(KONSTHN)</f>
        <v>252.18</v>
      </c>
      <c r="L43" s="577">
        <f>303.34*(KONSTHN)</f>
        <v>303.33999999999997</v>
      </c>
      <c r="M43" s="577">
        <f>332.21*(KONSTHN)</f>
        <v>332.21</v>
      </c>
      <c r="N43" s="578">
        <f>509.28*(KONSTHN)</f>
        <v>509.28</v>
      </c>
      <c r="Q43" s="323">
        <v>2600</v>
      </c>
      <c r="R43" s="577">
        <f>331.53*(KONSTHN)</f>
        <v>331.53</v>
      </c>
      <c r="S43" s="577">
        <f>375.78*(KONSTHN)</f>
        <v>375.78</v>
      </c>
      <c r="T43" s="577">
        <f>452.16*(KONSTHN)</f>
        <v>452.16</v>
      </c>
      <c r="U43" s="577">
        <f>494.89*(KONSTHN)</f>
        <v>494.89</v>
      </c>
      <c r="V43" s="578">
        <f>587.69*(KONSTHN)</f>
        <v>587.69000000000005</v>
      </c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</row>
    <row r="44" spans="1:49" ht="13.5" thickBot="1" x14ac:dyDescent="0.25">
      <c r="A44" s="324">
        <v>3000</v>
      </c>
      <c r="B44" s="331">
        <f>158*(KONSTHN)</f>
        <v>158</v>
      </c>
      <c r="C44" s="332">
        <f>174.61*(KONSTHN)</f>
        <v>174.61</v>
      </c>
      <c r="D44" s="332">
        <f>182.3*(KONSTHN)</f>
        <v>182.3</v>
      </c>
      <c r="E44" s="332">
        <f>213.34*(KONSTHN)</f>
        <v>213.34</v>
      </c>
      <c r="F44" s="333">
        <f>285.08*(KONSTHN)</f>
        <v>285.08</v>
      </c>
      <c r="I44" s="324">
        <v>3000</v>
      </c>
      <c r="J44" s="582">
        <f>243.79*(KONSTHN)</f>
        <v>243.79</v>
      </c>
      <c r="K44" s="579">
        <f>278.09*(KONSTHN)</f>
        <v>278.08999999999997</v>
      </c>
      <c r="L44" s="579">
        <f>336.31*(KONSTHN)</f>
        <v>336.31</v>
      </c>
      <c r="M44" s="579">
        <f>369.46*(KONSTHN)</f>
        <v>369.46</v>
      </c>
      <c r="N44" s="580">
        <f>578.33*(KONSTHN)</f>
        <v>578.33000000000004</v>
      </c>
      <c r="Q44" s="324">
        <v>3000</v>
      </c>
      <c r="R44" s="579">
        <f>354.04*(KONSTHN)</f>
        <v>354.04</v>
      </c>
      <c r="S44" s="579">
        <f>413.9*(KONSTHN)</f>
        <v>413.9</v>
      </c>
      <c r="T44" s="579">
        <f>499.64*(KONSTHN)</f>
        <v>499.64</v>
      </c>
      <c r="U44" s="579">
        <f>548*(KONSTHN)</f>
        <v>548</v>
      </c>
      <c r="V44" s="580">
        <f>651.85*(KONSTHN)</f>
        <v>651.85</v>
      </c>
      <c r="Y44" s="482"/>
      <c r="Z44" s="482"/>
      <c r="AA44" s="482"/>
      <c r="AB44" s="482"/>
      <c r="AC44" s="482"/>
      <c r="AD44" s="482"/>
      <c r="AE44" s="482"/>
      <c r="AF44" s="482"/>
      <c r="AG44" s="482"/>
      <c r="AH44" s="482"/>
      <c r="AI44" s="482"/>
      <c r="AJ44" s="482"/>
      <c r="AK44" s="482"/>
      <c r="AL44" s="482"/>
      <c r="AM44" s="482"/>
      <c r="AN44" s="482"/>
      <c r="AO44" s="482"/>
      <c r="AP44" s="482"/>
      <c r="AQ44" s="482"/>
      <c r="AR44" s="482"/>
      <c r="AS44" s="482"/>
      <c r="AT44" s="482"/>
      <c r="AU44" s="482"/>
      <c r="AV44" s="482"/>
      <c r="AW44" s="482"/>
    </row>
    <row r="45" spans="1:49" ht="14.25" thickTop="1" thickBot="1" x14ac:dyDescent="0.25">
      <c r="B45" s="264" t="s">
        <v>203</v>
      </c>
    </row>
    <row r="46" spans="1:49" ht="14.25" thickTop="1" thickBot="1" x14ac:dyDescent="0.25">
      <c r="B46" s="264" t="s">
        <v>184</v>
      </c>
      <c r="I46" s="583" t="s">
        <v>173</v>
      </c>
      <c r="J46" s="584"/>
      <c r="K46" s="584"/>
      <c r="L46" s="584"/>
      <c r="M46" s="585"/>
      <c r="N46" s="586"/>
      <c r="O46" s="587"/>
      <c r="P46" s="267"/>
      <c r="Q46" s="157" t="s">
        <v>170</v>
      </c>
    </row>
    <row r="47" spans="1:49" ht="14.25" thickTop="1" thickBot="1" x14ac:dyDescent="0.25">
      <c r="I47" s="635" t="s">
        <v>396</v>
      </c>
      <c r="J47" s="584"/>
      <c r="K47" s="584"/>
      <c r="L47" s="584"/>
      <c r="M47" s="636"/>
      <c r="N47" s="586"/>
      <c r="O47" s="97"/>
      <c r="P47" s="637"/>
      <c r="Q47" s="638">
        <f>13.73*(KONSTHN)</f>
        <v>13.73</v>
      </c>
    </row>
    <row r="48" spans="1:49" ht="13.5" thickTop="1" x14ac:dyDescent="0.2">
      <c r="I48" s="639"/>
      <c r="J48" s="586"/>
      <c r="K48" s="586"/>
      <c r="L48" s="586"/>
      <c r="M48" s="586"/>
      <c r="N48" s="586"/>
      <c r="O48" s="586"/>
      <c r="P48" s="586"/>
      <c r="Q48" s="640"/>
    </row>
  </sheetData>
  <mergeCells count="8">
    <mergeCell ref="B27:F27"/>
    <mergeCell ref="H1:O1"/>
    <mergeCell ref="B6:G6"/>
    <mergeCell ref="J6:O6"/>
    <mergeCell ref="R6:W6"/>
    <mergeCell ref="H25:O25"/>
    <mergeCell ref="J27:N27"/>
    <mergeCell ref="R27:V27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workbookViewId="0">
      <selection activeCell="J3" sqref="J3"/>
    </sheetView>
  </sheetViews>
  <sheetFormatPr defaultRowHeight="12.75" x14ac:dyDescent="0.2"/>
  <cols>
    <col min="1" max="1" width="5.7109375" customWidth="1"/>
    <col min="2" max="5" width="6.28515625" customWidth="1"/>
    <col min="6" max="6" width="6.42578125" customWidth="1"/>
    <col min="7" max="7" width="0.42578125" customWidth="1"/>
    <col min="8" max="8" width="6" customWidth="1"/>
    <col min="9" max="10" width="6.28515625" customWidth="1"/>
    <col min="11" max="11" width="6.42578125" customWidth="1"/>
    <col min="12" max="12" width="6.5703125" customWidth="1"/>
    <col min="13" max="13" width="6.85546875" customWidth="1"/>
    <col min="14" max="14" width="0.42578125" customWidth="1"/>
    <col min="15" max="15" width="6" customWidth="1"/>
    <col min="16" max="16" width="6.28515625" customWidth="1"/>
    <col min="17" max="18" width="6.42578125" customWidth="1"/>
    <col min="19" max="19" width="6.5703125" customWidth="1"/>
    <col min="20" max="20" width="6.28515625" customWidth="1"/>
  </cols>
  <sheetData>
    <row r="1" spans="1:44" ht="18" customHeight="1" x14ac:dyDescent="0.25">
      <c r="A1" s="75"/>
      <c r="B1" s="44"/>
      <c r="C1" s="44"/>
      <c r="D1" s="45"/>
      <c r="E1" s="45"/>
      <c r="F1" s="708" t="s">
        <v>414</v>
      </c>
      <c r="G1" s="712"/>
      <c r="H1" s="712"/>
      <c r="I1" s="712"/>
      <c r="J1" s="712"/>
      <c r="K1" s="712"/>
      <c r="L1" s="712"/>
      <c r="M1" s="712"/>
      <c r="N1" s="712"/>
      <c r="O1" s="712"/>
      <c r="P1" s="44"/>
      <c r="Q1" s="44"/>
      <c r="R1" s="44"/>
      <c r="S1" s="44"/>
      <c r="T1" s="44"/>
    </row>
    <row r="2" spans="1:44" ht="15" x14ac:dyDescent="0.2">
      <c r="A2" s="48" t="s">
        <v>171</v>
      </c>
      <c r="B2" s="49"/>
      <c r="C2" s="49"/>
      <c r="D2" s="50"/>
      <c r="E2" s="50"/>
      <c r="F2" s="49"/>
      <c r="G2" s="49"/>
      <c r="H2" s="49"/>
      <c r="I2" s="49"/>
      <c r="J2" s="49"/>
      <c r="K2" s="49"/>
      <c r="L2" s="49"/>
      <c r="M2" s="49"/>
      <c r="N2" s="387" t="s">
        <v>416</v>
      </c>
      <c r="P2" s="52"/>
      <c r="Q2" s="52"/>
      <c r="R2" s="43"/>
      <c r="T2" s="268"/>
    </row>
    <row r="3" spans="1:44" x14ac:dyDescent="0.2">
      <c r="G3" s="43"/>
      <c r="H3" s="265"/>
      <c r="I3" s="85" t="s">
        <v>172</v>
      </c>
      <c r="J3" s="644">
        <v>0</v>
      </c>
      <c r="K3" s="265"/>
      <c r="L3" s="265"/>
      <c r="M3" s="265"/>
      <c r="N3" s="43"/>
      <c r="O3" s="43"/>
      <c r="P3" s="43"/>
      <c r="Q3" s="43"/>
      <c r="R3" s="43"/>
      <c r="S3" s="43"/>
      <c r="T3" s="43"/>
    </row>
    <row r="4" spans="1:44" x14ac:dyDescent="0.2">
      <c r="G4" s="43"/>
      <c r="H4" s="148"/>
      <c r="I4" s="266"/>
      <c r="K4" s="266"/>
      <c r="L4" s="266"/>
      <c r="M4" s="266"/>
      <c r="O4" s="43"/>
      <c r="P4" s="43"/>
      <c r="Q4" s="43"/>
      <c r="R4" s="43"/>
      <c r="S4" s="43"/>
      <c r="T4" s="43"/>
    </row>
    <row r="5" spans="1:44" ht="3" customHeight="1" thickBot="1" x14ac:dyDescent="0.25">
      <c r="G5" s="43"/>
      <c r="H5" s="148"/>
      <c r="I5" s="266"/>
      <c r="J5" s="266"/>
      <c r="K5" s="266"/>
      <c r="L5" s="266"/>
      <c r="M5" s="266"/>
      <c r="N5" s="43"/>
      <c r="O5" s="43"/>
      <c r="P5" s="43"/>
      <c r="Q5" s="43"/>
      <c r="R5" s="43"/>
      <c r="S5" s="43"/>
      <c r="T5" s="43"/>
    </row>
    <row r="6" spans="1:44" ht="14.25" thickTop="1" thickBot="1" x14ac:dyDescent="0.25">
      <c r="A6" s="78" t="s">
        <v>173</v>
      </c>
      <c r="B6" s="705" t="s">
        <v>174</v>
      </c>
      <c r="C6" s="706"/>
      <c r="D6" s="706"/>
      <c r="E6" s="706"/>
      <c r="F6" s="707"/>
      <c r="G6" s="43"/>
      <c r="H6" s="78" t="s">
        <v>173</v>
      </c>
      <c r="I6" s="705" t="s">
        <v>174</v>
      </c>
      <c r="J6" s="706"/>
      <c r="K6" s="706"/>
      <c r="L6" s="706"/>
      <c r="M6" s="707"/>
      <c r="N6" s="43"/>
      <c r="O6" s="78" t="s">
        <v>173</v>
      </c>
      <c r="P6" s="705" t="s">
        <v>174</v>
      </c>
      <c r="Q6" s="706"/>
      <c r="R6" s="706"/>
      <c r="S6" s="706"/>
      <c r="T6" s="707"/>
    </row>
    <row r="7" spans="1:44" ht="14.25" thickTop="1" thickBot="1" x14ac:dyDescent="0.25">
      <c r="A7" s="78">
        <v>10</v>
      </c>
      <c r="B7" s="82">
        <v>300</v>
      </c>
      <c r="C7" s="79">
        <v>400</v>
      </c>
      <c r="D7" s="80">
        <v>500</v>
      </c>
      <c r="E7" s="80">
        <v>600</v>
      </c>
      <c r="F7" s="81">
        <v>900</v>
      </c>
      <c r="G7" s="43"/>
      <c r="H7" s="78">
        <v>20</v>
      </c>
      <c r="I7" s="82">
        <v>300</v>
      </c>
      <c r="J7" s="79">
        <v>400</v>
      </c>
      <c r="K7" s="80">
        <v>500</v>
      </c>
      <c r="L7" s="80">
        <v>600</v>
      </c>
      <c r="M7" s="81">
        <v>900</v>
      </c>
      <c r="N7" s="43"/>
      <c r="O7" s="78">
        <v>30</v>
      </c>
      <c r="P7" s="82">
        <v>300</v>
      </c>
      <c r="Q7" s="79">
        <v>400</v>
      </c>
      <c r="R7" s="80">
        <v>500</v>
      </c>
      <c r="S7" s="80">
        <v>600</v>
      </c>
      <c r="T7" s="81">
        <v>900</v>
      </c>
      <c r="V7" s="622"/>
      <c r="W7" s="622"/>
      <c r="X7" s="622"/>
      <c r="Y7" s="622"/>
    </row>
    <row r="8" spans="1:44" ht="13.5" thickTop="1" x14ac:dyDescent="0.2">
      <c r="A8" s="322">
        <v>400</v>
      </c>
      <c r="B8" s="325">
        <f>46.37*(CONSTPH)</f>
        <v>46.37</v>
      </c>
      <c r="C8" s="326">
        <f>51.76*(CONSTPH)</f>
        <v>51.76</v>
      </c>
      <c r="D8" s="326">
        <f>54.53*(CONSTPH)</f>
        <v>54.53</v>
      </c>
      <c r="E8" s="326">
        <f>64.87*(CONSTPH)</f>
        <v>64.87</v>
      </c>
      <c r="F8" s="327">
        <f>78.6*(CONSTPH)</f>
        <v>78.599999999999994</v>
      </c>
      <c r="G8" s="43"/>
      <c r="H8" s="322">
        <v>400</v>
      </c>
      <c r="I8" s="325">
        <f>60.59*(CONSTPH)</f>
        <v>60.59</v>
      </c>
      <c r="J8" s="326">
        <f>66.36*(CONSTPH)</f>
        <v>66.36</v>
      </c>
      <c r="K8" s="326">
        <f>81.77*(CONSTPH)</f>
        <v>81.77</v>
      </c>
      <c r="L8" s="572">
        <f>88.67*(CONSTPH)</f>
        <v>88.67</v>
      </c>
      <c r="M8" s="327">
        <f>133.62*(CONSTPH)</f>
        <v>133.62</v>
      </c>
      <c r="N8" s="43"/>
      <c r="O8" s="322">
        <v>400</v>
      </c>
      <c r="P8" s="325">
        <f>141.36*(CONSTPH)</f>
        <v>141.36000000000001</v>
      </c>
      <c r="Q8" s="326">
        <f>149.96*(CONSTPH)</f>
        <v>149.96</v>
      </c>
      <c r="R8" s="326">
        <f>174.26*(CONSTPH)</f>
        <v>174.26</v>
      </c>
      <c r="S8" s="326">
        <f>185.84*(CONSTPH)</f>
        <v>185.84</v>
      </c>
      <c r="T8" s="327">
        <f>193.81*(CONSTPH)</f>
        <v>193.81</v>
      </c>
      <c r="V8" s="482"/>
      <c r="W8" s="482"/>
      <c r="X8" s="482"/>
      <c r="Y8" s="482"/>
      <c r="Z8" s="482"/>
      <c r="AA8" s="482"/>
      <c r="AB8" s="482"/>
      <c r="AC8" s="482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</row>
    <row r="9" spans="1:44" x14ac:dyDescent="0.2">
      <c r="A9" s="323">
        <v>500</v>
      </c>
      <c r="B9" s="328">
        <f>51.25*(CONSTPH)</f>
        <v>51.25</v>
      </c>
      <c r="C9" s="329">
        <f>56.47*(CONSTPH)</f>
        <v>56.47</v>
      </c>
      <c r="D9" s="329">
        <f>60.7*(CONSTPH)</f>
        <v>60.7</v>
      </c>
      <c r="E9" s="329">
        <f>68.24*(CONSTPH)</f>
        <v>68.239999999999995</v>
      </c>
      <c r="F9" s="330">
        <f>88.28*(CONSTPH)</f>
        <v>88.28</v>
      </c>
      <c r="G9" s="43"/>
      <c r="H9" s="323">
        <v>500</v>
      </c>
      <c r="I9" s="328">
        <f>70.54*(CONSTPH)</f>
        <v>70.540000000000006</v>
      </c>
      <c r="J9" s="329">
        <f>78.19*(CONSTPH)</f>
        <v>78.19</v>
      </c>
      <c r="K9" s="329">
        <f>94.87*(CONSTPH)</f>
        <v>94.87</v>
      </c>
      <c r="L9" s="573">
        <f>103.09*(CONSTPH)</f>
        <v>103.09</v>
      </c>
      <c r="M9" s="330">
        <f>153.29*(CONSTPH)</f>
        <v>153.29</v>
      </c>
      <c r="N9" s="43"/>
      <c r="O9" s="323">
        <v>500</v>
      </c>
      <c r="P9" s="328">
        <f>152.11*(CONSTPH)</f>
        <v>152.11000000000001</v>
      </c>
      <c r="Q9" s="329">
        <f>162.12*(CONSTPH)</f>
        <v>162.12</v>
      </c>
      <c r="R9" s="329">
        <f>189.68*(CONSTPH)</f>
        <v>189.68</v>
      </c>
      <c r="S9" s="329">
        <f>202.41*(CONSTPH)</f>
        <v>202.41</v>
      </c>
      <c r="T9" s="330">
        <f>222.54*(CONSTPH)</f>
        <v>222.54</v>
      </c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</row>
    <row r="10" spans="1:44" x14ac:dyDescent="0.2">
      <c r="A10" s="323">
        <v>600</v>
      </c>
      <c r="B10" s="328">
        <f>55.62*(CONSTPH)</f>
        <v>55.62</v>
      </c>
      <c r="C10" s="329">
        <f>61.84*(CONSTPH)</f>
        <v>61.84</v>
      </c>
      <c r="D10" s="329">
        <f>67.3*(CONSTPH)</f>
        <v>67.3</v>
      </c>
      <c r="E10" s="329">
        <f>74.91*(CONSTPH)</f>
        <v>74.91</v>
      </c>
      <c r="F10" s="330">
        <f>98.02*(CONSTPH)</f>
        <v>98.02</v>
      </c>
      <c r="G10" s="43"/>
      <c r="H10" s="323">
        <v>600</v>
      </c>
      <c r="I10" s="328">
        <f>81.18*(CONSTPH)</f>
        <v>81.180000000000007</v>
      </c>
      <c r="J10" s="329">
        <f>89.53*(CONSTPH)</f>
        <v>89.53</v>
      </c>
      <c r="K10" s="329">
        <f>108.81*(CONSTPH)</f>
        <v>108.81</v>
      </c>
      <c r="L10" s="573">
        <f>117.42*(CONSTPH)</f>
        <v>117.42</v>
      </c>
      <c r="M10" s="330">
        <f>173.43*(CONSTPH)</f>
        <v>173.43</v>
      </c>
      <c r="N10" s="43"/>
      <c r="O10" s="323">
        <v>600</v>
      </c>
      <c r="P10" s="328">
        <f>163.65*(CONSTPH)</f>
        <v>163.65</v>
      </c>
      <c r="Q10" s="329">
        <f>174.88*(CONSTPH)</f>
        <v>174.88</v>
      </c>
      <c r="R10" s="329">
        <f>205.75*(CONSTPH)</f>
        <v>205.75</v>
      </c>
      <c r="S10" s="329">
        <f>220.17*(CONSTPH)</f>
        <v>220.17</v>
      </c>
      <c r="T10" s="330">
        <f>255.24*(CONSTPH)</f>
        <v>255.24</v>
      </c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</row>
    <row r="11" spans="1:44" x14ac:dyDescent="0.2">
      <c r="A11" s="323">
        <v>700</v>
      </c>
      <c r="B11" s="328">
        <f>59.52*(CONSTPH)</f>
        <v>59.52</v>
      </c>
      <c r="C11" s="329">
        <f>66.77*(CONSTPH)</f>
        <v>66.77</v>
      </c>
      <c r="D11" s="329">
        <f>74.1*(CONSTPH)</f>
        <v>74.099999999999994</v>
      </c>
      <c r="E11" s="329">
        <f>81.65*(CONSTPH)</f>
        <v>81.650000000000006</v>
      </c>
      <c r="F11" s="330">
        <f>108.03*(CONSTPH)</f>
        <v>108.03</v>
      </c>
      <c r="G11" s="43"/>
      <c r="H11" s="323">
        <v>700</v>
      </c>
      <c r="I11" s="328">
        <f>90.72*(CONSTPH)</f>
        <v>90.72</v>
      </c>
      <c r="J11" s="329">
        <f>100.74*(CONSTPH)</f>
        <v>100.74</v>
      </c>
      <c r="K11" s="329">
        <f>122.43*(CONSTPH)</f>
        <v>122.43</v>
      </c>
      <c r="L11" s="573">
        <f>132.77*(CONSTPH)</f>
        <v>132.77000000000001</v>
      </c>
      <c r="M11" s="330">
        <f>199.42*(CONSTPH)</f>
        <v>199.42</v>
      </c>
      <c r="N11" s="43"/>
      <c r="O11" s="323">
        <v>700</v>
      </c>
      <c r="P11" s="328">
        <f>175.71*(CONSTPH)</f>
        <v>175.71</v>
      </c>
      <c r="Q11" s="329">
        <f>189.41*(CONSTPH)</f>
        <v>189.41</v>
      </c>
      <c r="R11" s="329">
        <f>222.94*(CONSTPH)</f>
        <v>222.94</v>
      </c>
      <c r="S11" s="329">
        <f>239.23*(CONSTPH)</f>
        <v>239.23</v>
      </c>
      <c r="T11" s="330">
        <f>291.94*(CONSTPH)</f>
        <v>291.94</v>
      </c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</row>
    <row r="12" spans="1:44" x14ac:dyDescent="0.2">
      <c r="A12" s="323">
        <v>800</v>
      </c>
      <c r="B12" s="328">
        <f>63.03*(CONSTPH)</f>
        <v>63.03</v>
      </c>
      <c r="C12" s="329">
        <f>71.43*(CONSTPH)</f>
        <v>71.430000000000007</v>
      </c>
      <c r="D12" s="329">
        <f>79.53*(CONSTPH)</f>
        <v>79.53</v>
      </c>
      <c r="E12" s="329">
        <f>88.26*(CONSTPH)</f>
        <v>88.26</v>
      </c>
      <c r="F12" s="330">
        <f>117.54*(CONSTPH)</f>
        <v>117.54</v>
      </c>
      <c r="G12" s="43"/>
      <c r="H12" s="323">
        <v>800</v>
      </c>
      <c r="I12" s="328">
        <f>100.14*(CONSTPH)</f>
        <v>100.14</v>
      </c>
      <c r="J12" s="329">
        <f>111.69*(CONSTPH)</f>
        <v>111.69</v>
      </c>
      <c r="K12" s="329">
        <f>136.02*(CONSTPH)</f>
        <v>136.02000000000001</v>
      </c>
      <c r="L12" s="573">
        <f>148.51*(CONSTPH)</f>
        <v>148.51</v>
      </c>
      <c r="M12" s="330">
        <f>224.7*(CONSTPH)</f>
        <v>224.7</v>
      </c>
      <c r="N12" s="43"/>
      <c r="O12" s="323">
        <v>800</v>
      </c>
      <c r="P12" s="328">
        <f>188.47*(CONSTPH)</f>
        <v>188.47</v>
      </c>
      <c r="Q12" s="329">
        <f>203.97*(CONSTPH)</f>
        <v>203.97</v>
      </c>
      <c r="R12" s="329">
        <f>242.12*(CONSTPH)</f>
        <v>242.12</v>
      </c>
      <c r="S12" s="329">
        <f>259.98*(CONSTPH)</f>
        <v>259.98</v>
      </c>
      <c r="T12" s="330">
        <f>332.79*(CONSTPH)</f>
        <v>332.79</v>
      </c>
      <c r="V12" s="482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</row>
    <row r="13" spans="1:44" x14ac:dyDescent="0.2">
      <c r="A13" s="323">
        <v>900</v>
      </c>
      <c r="B13" s="328">
        <f>67.89*(CONSTPH)</f>
        <v>67.89</v>
      </c>
      <c r="C13" s="329">
        <f>77.29*(CONSTPH)</f>
        <v>77.290000000000006</v>
      </c>
      <c r="D13" s="329">
        <f>86.49*(CONSTPH)</f>
        <v>86.49</v>
      </c>
      <c r="E13" s="329">
        <f>94.55*(CONSTPH)</f>
        <v>94.55</v>
      </c>
      <c r="F13" s="330">
        <f>126.51*(CONSTPH)</f>
        <v>126.51</v>
      </c>
      <c r="G13" s="43"/>
      <c r="H13" s="323">
        <v>900</v>
      </c>
      <c r="I13" s="328">
        <f>109.68*(CONSTPH)</f>
        <v>109.68</v>
      </c>
      <c r="J13" s="329">
        <f>123.27*(CONSTPH)</f>
        <v>123.27</v>
      </c>
      <c r="K13" s="329">
        <f>150.33*(CONSTPH)</f>
        <v>150.33000000000001</v>
      </c>
      <c r="L13" s="573">
        <f>163.65*(CONSTPH)</f>
        <v>163.65</v>
      </c>
      <c r="M13" s="330">
        <f>250.44*(CONSTPH)</f>
        <v>250.44</v>
      </c>
      <c r="N13" s="43"/>
      <c r="O13" s="323">
        <v>900</v>
      </c>
      <c r="P13" s="328">
        <f>201.79*(CONSTPH)</f>
        <v>201.79</v>
      </c>
      <c r="Q13" s="329">
        <f>220.55*(CONSTPH)</f>
        <v>220.55</v>
      </c>
      <c r="R13" s="329">
        <f>261.99*(CONSTPH)</f>
        <v>261.99</v>
      </c>
      <c r="S13" s="329">
        <f>282.14*(CONSTPH)</f>
        <v>282.14</v>
      </c>
      <c r="T13" s="330">
        <f>358.06*(CONSTPH)</f>
        <v>358.06</v>
      </c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</row>
    <row r="14" spans="1:44" x14ac:dyDescent="0.2">
      <c r="A14" s="323">
        <v>1000</v>
      </c>
      <c r="B14" s="328">
        <f>72.06*(CONSTPH)</f>
        <v>72.06</v>
      </c>
      <c r="C14" s="329">
        <f>81.77*(CONSTPH)</f>
        <v>81.77</v>
      </c>
      <c r="D14" s="329">
        <f>93.7*(CONSTPH)</f>
        <v>93.7</v>
      </c>
      <c r="E14" s="329">
        <f>101.57*(CONSTPH)</f>
        <v>101.57</v>
      </c>
      <c r="F14" s="330">
        <f>138.4*(CONSTPH)</f>
        <v>138.4</v>
      </c>
      <c r="G14" s="43"/>
      <c r="H14" s="323">
        <v>1000</v>
      </c>
      <c r="I14" s="328">
        <f>118.83*(CONSTPH)</f>
        <v>118.83</v>
      </c>
      <c r="J14" s="329">
        <f>134.22*(CONSTPH)</f>
        <v>134.22</v>
      </c>
      <c r="K14" s="329">
        <f>163.65*(CONSTPH)</f>
        <v>163.65</v>
      </c>
      <c r="L14" s="573">
        <f>179.28*(CONSTPH)</f>
        <v>179.28</v>
      </c>
      <c r="M14" s="330">
        <f>276.56*(CONSTPH)</f>
        <v>276.56</v>
      </c>
      <c r="N14" s="43"/>
      <c r="O14" s="323">
        <v>1000</v>
      </c>
      <c r="P14" s="328">
        <f>214.91*(CONSTPH)</f>
        <v>214.91</v>
      </c>
      <c r="Q14" s="329">
        <f>236.48*(CONSTPH)</f>
        <v>236.48</v>
      </c>
      <c r="R14" s="329">
        <f>281.55*(CONSTPH)</f>
        <v>281.55</v>
      </c>
      <c r="S14" s="329">
        <f>303.84*(CONSTPH)</f>
        <v>303.83999999999997</v>
      </c>
      <c r="T14" s="330">
        <f>385.02*(CONSTPH)</f>
        <v>385.02</v>
      </c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482"/>
      <c r="AL14" s="482"/>
      <c r="AM14" s="482"/>
      <c r="AN14" s="482"/>
      <c r="AO14" s="482"/>
      <c r="AP14" s="482"/>
      <c r="AQ14" s="482"/>
      <c r="AR14" s="482"/>
    </row>
    <row r="15" spans="1:44" x14ac:dyDescent="0.2">
      <c r="A15" s="323">
        <v>1100</v>
      </c>
      <c r="B15" s="328">
        <f>78.39*(CONSTPH)</f>
        <v>78.39</v>
      </c>
      <c r="C15" s="329">
        <f>89.36*(CONSTPH)</f>
        <v>89.36</v>
      </c>
      <c r="D15" s="329">
        <f>101.17*(CONSTPH)</f>
        <v>101.17</v>
      </c>
      <c r="E15" s="329">
        <f>109*(CONSTPH)</f>
        <v>109</v>
      </c>
      <c r="F15" s="330">
        <f>150.34*(CONSTPH)</f>
        <v>150.34</v>
      </c>
      <c r="G15" s="43"/>
      <c r="H15" s="323">
        <v>1100</v>
      </c>
      <c r="I15" s="328">
        <f>128.37*(CONSTPH)</f>
        <v>128.37</v>
      </c>
      <c r="J15" s="329">
        <f>146.16*(CONSTPH)</f>
        <v>146.16</v>
      </c>
      <c r="K15" s="329">
        <f>177.5*(CONSTPH)</f>
        <v>177.5</v>
      </c>
      <c r="L15" s="573">
        <f>193.57*(CONSTPH)</f>
        <v>193.57</v>
      </c>
      <c r="M15" s="330">
        <f>301.73*(CONSTPH)</f>
        <v>301.73</v>
      </c>
      <c r="N15" s="43"/>
      <c r="O15" s="323">
        <v>1100</v>
      </c>
      <c r="P15" s="328">
        <f>227.88*(CONSTPH)</f>
        <v>227.88</v>
      </c>
      <c r="Q15" s="329">
        <f>252.85*(CONSTPH)</f>
        <v>252.85</v>
      </c>
      <c r="R15" s="329">
        <f>301.73*(CONSTPH)</f>
        <v>301.73</v>
      </c>
      <c r="S15" s="329">
        <f>326.03*(CONSTPH)</f>
        <v>326.02999999999997</v>
      </c>
      <c r="T15" s="330">
        <f>413.76*(CONSTPH)</f>
        <v>413.76</v>
      </c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</row>
    <row r="16" spans="1:44" x14ac:dyDescent="0.2">
      <c r="A16" s="323">
        <v>1200</v>
      </c>
      <c r="B16" s="328">
        <f>83.24*(CONSTPH)</f>
        <v>83.24</v>
      </c>
      <c r="C16" s="329">
        <f>95.22*(CONSTPH)</f>
        <v>95.22</v>
      </c>
      <c r="D16" s="329">
        <f>108.39*(CONSTPH)</f>
        <v>108.39</v>
      </c>
      <c r="E16" s="329">
        <f>117.41*(CONSTPH)</f>
        <v>117.41</v>
      </c>
      <c r="F16" s="330">
        <f>162.2*(CONSTPH)</f>
        <v>162.19999999999999</v>
      </c>
      <c r="G16" s="43"/>
      <c r="H16" s="323">
        <v>1200</v>
      </c>
      <c r="I16" s="328">
        <f>136.96*(CONSTPH)</f>
        <v>136.96</v>
      </c>
      <c r="J16" s="329">
        <f>157.37*(CONSTPH)</f>
        <v>157.37</v>
      </c>
      <c r="K16" s="329">
        <f>191.45*(CONSTPH)</f>
        <v>191.45</v>
      </c>
      <c r="L16" s="573">
        <f>209.55*(CONSTPH)</f>
        <v>209.55</v>
      </c>
      <c r="M16" s="330">
        <f>327.45*(CONSTPH)</f>
        <v>327.45</v>
      </c>
      <c r="N16" s="43"/>
      <c r="O16" s="323">
        <v>1200</v>
      </c>
      <c r="P16" s="328">
        <f>241.27*(CONSTPH)</f>
        <v>241.27</v>
      </c>
      <c r="Q16" s="329">
        <f>268.8*(CONSTPH)</f>
        <v>268.8</v>
      </c>
      <c r="R16" s="329">
        <f>321.62*(CONSTPH)</f>
        <v>321.62</v>
      </c>
      <c r="S16" s="329">
        <f>348.29*(CONSTPH)</f>
        <v>348.29</v>
      </c>
      <c r="T16" s="330">
        <f>444.85*(CONSTPH)</f>
        <v>444.85</v>
      </c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</row>
    <row r="17" spans="1:44" x14ac:dyDescent="0.2">
      <c r="A17" s="323">
        <v>1400</v>
      </c>
      <c r="B17" s="328">
        <f>100.83*(CONSTPH)</f>
        <v>100.83</v>
      </c>
      <c r="C17" s="329">
        <f>114.95*(CONSTPH)</f>
        <v>114.95</v>
      </c>
      <c r="D17" s="329">
        <f>122.99*(CONSTPH)</f>
        <v>122.99</v>
      </c>
      <c r="E17" s="329">
        <f>133.15*(CONSTPH)</f>
        <v>133.15</v>
      </c>
      <c r="F17" s="330">
        <f>186.81*(CONSTPH)</f>
        <v>186.81</v>
      </c>
      <c r="G17" s="43"/>
      <c r="H17" s="323">
        <v>1400</v>
      </c>
      <c r="I17" s="328">
        <f>155.93*(CONSTPH)</f>
        <v>155.93</v>
      </c>
      <c r="J17" s="329">
        <f>180.22*(CONSTPH)</f>
        <v>180.22</v>
      </c>
      <c r="K17" s="329">
        <f>218.98*(CONSTPH)</f>
        <v>218.98</v>
      </c>
      <c r="L17" s="573">
        <f>240.06*(CONSTPH)</f>
        <v>240.06</v>
      </c>
      <c r="M17" s="330">
        <f>378.82*(CONSTPH)</f>
        <v>378.82</v>
      </c>
      <c r="N17" s="43"/>
      <c r="O17" s="323">
        <v>1400</v>
      </c>
      <c r="P17" s="328">
        <f>267.62*(CONSTPH)</f>
        <v>267.62</v>
      </c>
      <c r="Q17" s="329">
        <f>301.73*(CONSTPH)</f>
        <v>301.73</v>
      </c>
      <c r="R17" s="329">
        <f>360.69*(CONSTPH)</f>
        <v>360.69</v>
      </c>
      <c r="S17" s="329">
        <f>392.05*(CONSTPH)</f>
        <v>392.05</v>
      </c>
      <c r="T17" s="330">
        <f>488.7*(CONSTPH)</f>
        <v>488.7</v>
      </c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</row>
    <row r="18" spans="1:44" x14ac:dyDescent="0.2">
      <c r="A18" s="323">
        <v>1600</v>
      </c>
      <c r="B18" s="328">
        <f>110.63*(CONSTPH)</f>
        <v>110.63</v>
      </c>
      <c r="C18" s="329">
        <f>126.18*(CONSTPH)</f>
        <v>126.18</v>
      </c>
      <c r="D18" s="329">
        <f>137.84*(CONSTPH)</f>
        <v>137.84</v>
      </c>
      <c r="E18" s="329">
        <f>153.64*(CONSTPH)</f>
        <v>153.63999999999999</v>
      </c>
      <c r="F18" s="330">
        <f>206.37*(CONSTPH)</f>
        <v>206.37</v>
      </c>
      <c r="G18" s="43"/>
      <c r="H18" s="323">
        <v>1600</v>
      </c>
      <c r="I18" s="328">
        <f>174.61*(CONSTPH)</f>
        <v>174.61</v>
      </c>
      <c r="J18" s="329">
        <f>202.41*(CONSTPH)</f>
        <v>202.41</v>
      </c>
      <c r="K18" s="329">
        <f>246.64*(CONSTPH)</f>
        <v>246.64</v>
      </c>
      <c r="L18" s="573">
        <f>270.59*(CONSTPH)</f>
        <v>270.58999999999997</v>
      </c>
      <c r="M18" s="330">
        <f>420.31*(CONSTPH)</f>
        <v>420.31</v>
      </c>
      <c r="N18" s="43"/>
      <c r="O18" s="323">
        <v>1600</v>
      </c>
      <c r="P18" s="328">
        <f>294.08*(CONSTPH)</f>
        <v>294.08</v>
      </c>
      <c r="Q18" s="329">
        <f>333.79*(CONSTPH)</f>
        <v>333.79</v>
      </c>
      <c r="R18" s="329">
        <f>400.74*(CONSTPH)</f>
        <v>400.74</v>
      </c>
      <c r="S18" s="329">
        <f>436.3*(CONSTPH)</f>
        <v>436.3</v>
      </c>
      <c r="T18" s="330">
        <f>541.14*(CONSTPH)</f>
        <v>541.14</v>
      </c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</row>
    <row r="19" spans="1:44" x14ac:dyDescent="0.2">
      <c r="A19" s="323">
        <v>1800</v>
      </c>
      <c r="B19" s="328">
        <f>124.01*(CONSTPH)</f>
        <v>124.01</v>
      </c>
      <c r="C19" s="329">
        <f>141.84*(CONSTPH)</f>
        <v>141.84</v>
      </c>
      <c r="D19" s="329">
        <f>152.44*(CONSTPH)</f>
        <v>152.44</v>
      </c>
      <c r="E19" s="329">
        <f>173.06*(CONSTPH)</f>
        <v>173.06</v>
      </c>
      <c r="F19" s="330">
        <f>231.85*(CONSTPH)</f>
        <v>231.85</v>
      </c>
      <c r="G19" s="43"/>
      <c r="H19" s="323">
        <v>1800</v>
      </c>
      <c r="I19" s="328">
        <f>192.99*(CONSTPH)</f>
        <v>192.99</v>
      </c>
      <c r="J19" s="329">
        <f>225.29*(CONSTPH)</f>
        <v>225.29</v>
      </c>
      <c r="K19" s="329">
        <f>274.17*(CONSTPH)</f>
        <v>274.17</v>
      </c>
      <c r="L19" s="573">
        <f>301.73*(CONSTPH)</f>
        <v>301.73</v>
      </c>
      <c r="M19" s="330">
        <f>471.81*(CONSTPH)</f>
        <v>471.81</v>
      </c>
      <c r="N19" s="43"/>
      <c r="O19" s="323">
        <v>1800</v>
      </c>
      <c r="P19" s="328">
        <f>312.44*(CONSTPH)</f>
        <v>312.44</v>
      </c>
      <c r="Q19" s="329">
        <f>366.3*(CONSTPH)</f>
        <v>366.3</v>
      </c>
      <c r="R19" s="329">
        <f>440.69*(CONSTPH)</f>
        <v>440.69</v>
      </c>
      <c r="S19" s="329">
        <f>480.74*(CONSTPH)</f>
        <v>480.74</v>
      </c>
      <c r="T19" s="330">
        <f>598.98*(CONSTPH)</f>
        <v>598.98</v>
      </c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</row>
    <row r="20" spans="1:44" x14ac:dyDescent="0.2">
      <c r="A20" s="323">
        <v>2000</v>
      </c>
      <c r="B20" s="328">
        <f>133.76*(CONSTPH)</f>
        <v>133.76</v>
      </c>
      <c r="C20" s="329">
        <f>147.02*(CONSTPH)</f>
        <v>147.02000000000001</v>
      </c>
      <c r="D20" s="329">
        <f>162.39*(CONSTPH)</f>
        <v>162.38999999999999</v>
      </c>
      <c r="E20" s="329">
        <f>182.25*(CONSTPH)</f>
        <v>182.25</v>
      </c>
      <c r="F20" s="330">
        <f>255.68*(CONSTPH)</f>
        <v>255.68</v>
      </c>
      <c r="G20" s="43"/>
      <c r="H20" s="323">
        <v>2000</v>
      </c>
      <c r="I20" s="328">
        <f>211.59*(CONSTPH)</f>
        <v>211.59</v>
      </c>
      <c r="J20" s="329">
        <f>238.28*(CONSTPH)</f>
        <v>238.28</v>
      </c>
      <c r="K20" s="329">
        <f>292.26*(CONSTPH)</f>
        <v>292.26</v>
      </c>
      <c r="L20" s="573">
        <f>322.21*(CONSTPH)</f>
        <v>322.20999999999998</v>
      </c>
      <c r="M20" s="330">
        <f>523.64*(CONSTPH)</f>
        <v>523.64</v>
      </c>
      <c r="N20" s="43"/>
      <c r="O20" s="323">
        <v>2000</v>
      </c>
      <c r="P20" s="328">
        <f>346.52*(CONSTPH)</f>
        <v>346.52</v>
      </c>
      <c r="Q20" s="329">
        <f>389.18*(CONSTPH)</f>
        <v>389.18</v>
      </c>
      <c r="R20" s="329">
        <f>470.37*(CONSTPH)</f>
        <v>470.37</v>
      </c>
      <c r="S20" s="329">
        <f>514.48*(CONSTPH)</f>
        <v>514.48</v>
      </c>
      <c r="T20" s="330">
        <f>639.86*(CONSTPH)</f>
        <v>639.86</v>
      </c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</row>
    <row r="21" spans="1:44" x14ac:dyDescent="0.2">
      <c r="A21" s="323">
        <v>2300</v>
      </c>
      <c r="B21" s="328">
        <f>143.95*(CONSTPH)</f>
        <v>143.94999999999999</v>
      </c>
      <c r="C21" s="329">
        <f>166.36*(CONSTPH)</f>
        <v>166.36</v>
      </c>
      <c r="D21" s="329">
        <f>184.19*(CONSTPH)</f>
        <v>184.19</v>
      </c>
      <c r="E21" s="329">
        <f>207.05*(CONSTPH)</f>
        <v>207.05</v>
      </c>
      <c r="F21" s="330">
        <f>285.3*(CONSTPH)</f>
        <v>285.3</v>
      </c>
      <c r="H21" s="323">
        <v>2300</v>
      </c>
      <c r="I21" s="328">
        <f>229.45*(CONSTPH)</f>
        <v>229.45</v>
      </c>
      <c r="J21" s="329">
        <f>272.36*(CONSTPH)</f>
        <v>272.36</v>
      </c>
      <c r="K21" s="329">
        <f>333.76*(CONSTPH)</f>
        <v>333.76</v>
      </c>
      <c r="L21" s="573">
        <f>368.7*(CONSTPH)</f>
        <v>368.7</v>
      </c>
      <c r="M21" s="330">
        <f>596.01*(CONSTPH)</f>
        <v>596.01</v>
      </c>
      <c r="N21" s="43"/>
      <c r="O21" s="323">
        <v>2300</v>
      </c>
      <c r="P21" s="328">
        <f>376.46*(CONSTPH)</f>
        <v>376.46</v>
      </c>
      <c r="Q21" s="329">
        <f>437.7*(CONSTPH)</f>
        <v>437.7</v>
      </c>
      <c r="R21" s="329">
        <f>530.23*(CONSTPH)</f>
        <v>530.23</v>
      </c>
      <c r="S21" s="329">
        <f>581.22*(CONSTPH)</f>
        <v>581.22</v>
      </c>
      <c r="T21" s="330">
        <f>694.69*(CONSTPH)</f>
        <v>694.69</v>
      </c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</row>
    <row r="22" spans="1:44" x14ac:dyDescent="0.2">
      <c r="A22" s="323">
        <v>2600</v>
      </c>
      <c r="B22" s="328">
        <f>158.09*(CONSTPH)</f>
        <v>158.09</v>
      </c>
      <c r="C22" s="329">
        <f>185.8*(CONSTPH)</f>
        <v>185.8</v>
      </c>
      <c r="D22" s="329">
        <f>207*(CONSTPH)</f>
        <v>207</v>
      </c>
      <c r="E22" s="329">
        <f>235.79*(CONSTPH)</f>
        <v>235.79</v>
      </c>
      <c r="F22" s="330">
        <f>314.09*(CONSTPH)</f>
        <v>314.08999999999997</v>
      </c>
      <c r="H22" s="323">
        <v>2600</v>
      </c>
      <c r="I22" s="328">
        <f>257.83*(CONSTPH)</f>
        <v>257.83</v>
      </c>
      <c r="J22" s="329">
        <f>306.46*(CONSTPH)</f>
        <v>306.45999999999998</v>
      </c>
      <c r="K22" s="329">
        <f>375.23*(CONSTPH)</f>
        <v>375.23</v>
      </c>
      <c r="L22" s="573">
        <f>414.58*(CONSTPH)</f>
        <v>414.58</v>
      </c>
      <c r="M22" s="330">
        <f>655.85*(CONSTPH)</f>
        <v>655.85</v>
      </c>
      <c r="N22" s="43"/>
      <c r="O22" s="323">
        <v>2600</v>
      </c>
      <c r="P22" s="328">
        <f>415.52*(CONSTPH)</f>
        <v>415.52</v>
      </c>
      <c r="Q22" s="329">
        <f>476.34*(CONSTPH)</f>
        <v>476.34</v>
      </c>
      <c r="R22" s="329">
        <f>580.05*(CONSTPH)</f>
        <v>580.04999999999995</v>
      </c>
      <c r="S22" s="329">
        <f>637.84*(CONSTPH)</f>
        <v>637.84</v>
      </c>
      <c r="T22" s="330">
        <f>764.08*(CONSTPH)</f>
        <v>764.08</v>
      </c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</row>
    <row r="23" spans="1:44" ht="13.5" thickBot="1" x14ac:dyDescent="0.25">
      <c r="A23" s="324">
        <v>3000</v>
      </c>
      <c r="B23" s="331">
        <f>183.55*(CONSTPH)</f>
        <v>183.55</v>
      </c>
      <c r="C23" s="332">
        <f>206.67*(CONSTPH)</f>
        <v>206.67</v>
      </c>
      <c r="D23" s="332">
        <f>231.35*(CONSTPH)</f>
        <v>231.35</v>
      </c>
      <c r="E23" s="332">
        <f>259.98*(CONSTPH)</f>
        <v>259.98</v>
      </c>
      <c r="F23" s="333">
        <f>358.03*(CONSTPH)</f>
        <v>358.03</v>
      </c>
      <c r="H23" s="324">
        <v>3000</v>
      </c>
      <c r="I23" s="331">
        <f>294.89*(CONSTPH)</f>
        <v>294.89</v>
      </c>
      <c r="J23" s="332">
        <f>341.96*(CONSTPH)</f>
        <v>341.96</v>
      </c>
      <c r="K23" s="332">
        <f>421.14*(CONSTPH)</f>
        <v>421.14</v>
      </c>
      <c r="L23" s="574">
        <f>465.94*(CONSTPH)</f>
        <v>465.94</v>
      </c>
      <c r="M23" s="333">
        <f>751.09*(CONSTPH)</f>
        <v>751.09</v>
      </c>
      <c r="N23" s="43"/>
      <c r="O23" s="324">
        <v>3000</v>
      </c>
      <c r="P23" s="331">
        <f>446.66*(CONSTPH)</f>
        <v>446.66</v>
      </c>
      <c r="Q23" s="332">
        <f>528.78*(CONSTPH)</f>
        <v>528.78</v>
      </c>
      <c r="R23" s="332">
        <f>645.26*(CONSTPH)</f>
        <v>645.26</v>
      </c>
      <c r="S23" s="332">
        <f>711.04*(CONSTPH)</f>
        <v>711.04</v>
      </c>
      <c r="T23" s="333">
        <f>852.41*(CONSTPH)</f>
        <v>852.41</v>
      </c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</row>
    <row r="24" spans="1:44" ht="6" customHeight="1" thickTop="1" x14ac:dyDescent="0.2">
      <c r="A24" s="4">
        <f>(1-J3)</f>
        <v>1</v>
      </c>
      <c r="B24" s="43">
        <f>KONSTHN</f>
        <v>1</v>
      </c>
      <c r="C24" s="43"/>
      <c r="D24" s="43"/>
      <c r="E24" s="43"/>
      <c r="F24" s="43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</row>
    <row r="25" spans="1:44" ht="18" customHeight="1" x14ac:dyDescent="0.25">
      <c r="A25" s="75"/>
      <c r="B25" s="44"/>
      <c r="C25" s="44"/>
      <c r="D25" s="44"/>
      <c r="E25" s="45"/>
      <c r="F25" s="45"/>
      <c r="G25" s="44"/>
      <c r="H25" s="708" t="s">
        <v>415</v>
      </c>
      <c r="I25" s="708"/>
      <c r="J25" s="708"/>
      <c r="K25" s="708"/>
      <c r="L25" s="708"/>
      <c r="M25" s="708"/>
      <c r="N25" s="708"/>
      <c r="O25" s="708"/>
      <c r="P25" s="44"/>
      <c r="Q25" s="44"/>
      <c r="R25" s="44"/>
      <c r="S25" s="44"/>
      <c r="T25" s="44"/>
      <c r="U25" s="424"/>
      <c r="V25" s="424"/>
      <c r="W25" s="482"/>
    </row>
    <row r="26" spans="1:44" ht="6" customHeight="1" thickBot="1" x14ac:dyDescent="0.25">
      <c r="W26" s="482"/>
    </row>
    <row r="27" spans="1:44" ht="14.25" thickTop="1" thickBot="1" x14ac:dyDescent="0.25">
      <c r="A27" s="78" t="s">
        <v>173</v>
      </c>
      <c r="B27" s="705" t="s">
        <v>174</v>
      </c>
      <c r="C27" s="706"/>
      <c r="D27" s="706"/>
      <c r="E27" s="706"/>
      <c r="F27" s="707"/>
      <c r="H27" s="78" t="s">
        <v>173</v>
      </c>
      <c r="I27" s="705" t="s">
        <v>174</v>
      </c>
      <c r="J27" s="706"/>
      <c r="K27" s="706"/>
      <c r="L27" s="706"/>
      <c r="M27" s="707"/>
      <c r="N27" s="571"/>
      <c r="O27" s="78" t="s">
        <v>173</v>
      </c>
      <c r="P27" s="705" t="s">
        <v>174</v>
      </c>
      <c r="Q27" s="706"/>
      <c r="R27" s="706"/>
      <c r="S27" s="706"/>
      <c r="T27" s="707"/>
      <c r="U27" s="482"/>
    </row>
    <row r="28" spans="1:44" ht="14.25" thickTop="1" thickBot="1" x14ac:dyDescent="0.25">
      <c r="A28" s="78">
        <v>10</v>
      </c>
      <c r="B28" s="82">
        <v>300</v>
      </c>
      <c r="C28" s="79">
        <v>400</v>
      </c>
      <c r="D28" s="80">
        <v>500</v>
      </c>
      <c r="E28" s="80">
        <v>600</v>
      </c>
      <c r="F28" s="81">
        <v>900</v>
      </c>
      <c r="H28" s="78">
        <v>20</v>
      </c>
      <c r="I28" s="79">
        <v>300</v>
      </c>
      <c r="J28" s="79">
        <v>400</v>
      </c>
      <c r="K28" s="80">
        <v>500</v>
      </c>
      <c r="L28" s="80">
        <v>600</v>
      </c>
      <c r="M28" s="81">
        <v>900</v>
      </c>
      <c r="O28" s="78">
        <v>30</v>
      </c>
      <c r="P28" s="79">
        <v>300</v>
      </c>
      <c r="Q28" s="79">
        <v>400</v>
      </c>
      <c r="R28" s="80">
        <v>500</v>
      </c>
      <c r="S28" s="80">
        <v>600</v>
      </c>
      <c r="T28" s="81">
        <v>900</v>
      </c>
      <c r="U28" s="482"/>
    </row>
    <row r="29" spans="1:44" ht="13.5" thickTop="1" x14ac:dyDescent="0.2">
      <c r="A29" s="322">
        <v>400</v>
      </c>
      <c r="B29" s="325">
        <f>78.45*(CONSTPH)</f>
        <v>78.45</v>
      </c>
      <c r="C29" s="572">
        <f>83.5*(CONSTPH)</f>
        <v>83.5</v>
      </c>
      <c r="D29" s="326">
        <f>85.78*(CONSTPH)</f>
        <v>85.78</v>
      </c>
      <c r="E29" s="326">
        <f>96.65*(CONSTPH)</f>
        <v>96.65</v>
      </c>
      <c r="F29" s="327">
        <f>109.55*(CONSTPH)</f>
        <v>109.55</v>
      </c>
      <c r="H29" s="322">
        <v>400</v>
      </c>
      <c r="I29" s="325">
        <f>95.89*(CONSTPH)</f>
        <v>95.89</v>
      </c>
      <c r="J29" s="575">
        <f>105.11*(CONSTPH)</f>
        <v>105.11</v>
      </c>
      <c r="K29" s="575">
        <f>120.52*(CONSTPH)</f>
        <v>120.52</v>
      </c>
      <c r="L29" s="575">
        <f>128.34*(CONSTPH)</f>
        <v>128.34</v>
      </c>
      <c r="M29" s="576">
        <f>174.1*(CONSTPH)</f>
        <v>174.1</v>
      </c>
      <c r="O29" s="322">
        <v>400</v>
      </c>
      <c r="P29" s="575">
        <f>178.2*(CONSTPH)</f>
        <v>178.2</v>
      </c>
      <c r="Q29" s="575">
        <f>186.31*(CONSTPH)</f>
        <v>186.31</v>
      </c>
      <c r="R29" s="575">
        <f>211.43*(CONSTPH)</f>
        <v>211.43</v>
      </c>
      <c r="S29" s="575">
        <f>223.76*(CONSTPH)</f>
        <v>223.76</v>
      </c>
      <c r="T29" s="576">
        <f>233.46*(CONSTPH)</f>
        <v>233.46</v>
      </c>
      <c r="U29" s="482"/>
    </row>
    <row r="30" spans="1:44" x14ac:dyDescent="0.2">
      <c r="A30" s="323">
        <v>500</v>
      </c>
      <c r="B30" s="328">
        <f>82.88*(CONSTPH)</f>
        <v>82.88</v>
      </c>
      <c r="C30" s="573">
        <f>88.03*(CONSTPH)</f>
        <v>88.03</v>
      </c>
      <c r="D30" s="329">
        <f>90.22*(CONSTPH)</f>
        <v>90.22</v>
      </c>
      <c r="E30" s="329">
        <f>99.66*(CONSTPH)</f>
        <v>99.66</v>
      </c>
      <c r="F30" s="330">
        <f>119.04*(CONSTPH)</f>
        <v>119.04</v>
      </c>
      <c r="H30" s="323">
        <v>500</v>
      </c>
      <c r="I30" s="328">
        <f>107.92*(CONSTPH)</f>
        <v>107.92</v>
      </c>
      <c r="J30" s="577">
        <f>116.12*(CONSTPH)</f>
        <v>116.12</v>
      </c>
      <c r="K30" s="577">
        <f>133.95*(CONSTPH)</f>
        <v>133.94999999999999</v>
      </c>
      <c r="L30" s="577">
        <f>142.15*(CONSTPH)</f>
        <v>142.15</v>
      </c>
      <c r="M30" s="578">
        <f>193.63*(CONSTPH)</f>
        <v>193.63</v>
      </c>
      <c r="O30" s="323">
        <v>500</v>
      </c>
      <c r="P30" s="577">
        <f>188.71*(CONSTPH)</f>
        <v>188.71</v>
      </c>
      <c r="Q30" s="577">
        <f>198.33*(CONSTPH)</f>
        <v>198.33</v>
      </c>
      <c r="R30" s="577">
        <f>226.67*(CONSTPH)</f>
        <v>226.67</v>
      </c>
      <c r="S30" s="577">
        <f>239.69*(CONSTPH)</f>
        <v>239.69</v>
      </c>
      <c r="T30" s="578">
        <f>261.71*(CONSTPH)</f>
        <v>261.70999999999998</v>
      </c>
      <c r="U30" s="482"/>
    </row>
    <row r="31" spans="1:44" x14ac:dyDescent="0.2">
      <c r="A31" s="323">
        <v>600</v>
      </c>
      <c r="B31" s="328">
        <f>87.32*(CONSTPH)</f>
        <v>87.32</v>
      </c>
      <c r="C31" s="573">
        <f>93.46*(CONSTPH)</f>
        <v>93.46</v>
      </c>
      <c r="D31" s="329">
        <f>95.92*(CONSTPH)</f>
        <v>95.92</v>
      </c>
      <c r="E31" s="329">
        <f>106.22*(CONSTPH)</f>
        <v>106.22</v>
      </c>
      <c r="F31" s="330">
        <f>129.22*(CONSTPH)</f>
        <v>129.22</v>
      </c>
      <c r="H31" s="323">
        <v>600</v>
      </c>
      <c r="I31" s="581">
        <f>118.73*(CONSTPH)</f>
        <v>118.73</v>
      </c>
      <c r="J31" s="577">
        <f>127.43*(CONSTPH)</f>
        <v>127.43</v>
      </c>
      <c r="K31" s="577">
        <f>147.27*(CONSTPH)</f>
        <v>147.27000000000001</v>
      </c>
      <c r="L31" s="577">
        <f>156.87*(CONSTPH)</f>
        <v>156.87</v>
      </c>
      <c r="M31" s="578">
        <f>213.05*(CONSTPH)</f>
        <v>213.05</v>
      </c>
      <c r="O31" s="323">
        <v>600</v>
      </c>
      <c r="P31" s="577">
        <f>199.74*(CONSTPH)</f>
        <v>199.74</v>
      </c>
      <c r="Q31" s="577">
        <f>211.43*(CONSTPH)</f>
        <v>211.43</v>
      </c>
      <c r="R31" s="577">
        <f>243.08*(CONSTPH)</f>
        <v>243.08</v>
      </c>
      <c r="S31" s="577">
        <f>257.49*(CONSTPH)</f>
        <v>257.49</v>
      </c>
      <c r="T31" s="578">
        <f>293.45*(CONSTPH)</f>
        <v>293.45</v>
      </c>
      <c r="U31" s="482"/>
    </row>
    <row r="32" spans="1:44" x14ac:dyDescent="0.2">
      <c r="A32" s="323">
        <v>700</v>
      </c>
      <c r="B32" s="328">
        <f>90.71*(CONSTPH)</f>
        <v>90.71</v>
      </c>
      <c r="C32" s="573">
        <f>98.42*(CONSTPH)</f>
        <v>98.42</v>
      </c>
      <c r="D32" s="329">
        <f>101.71*(CONSTPH)</f>
        <v>101.71</v>
      </c>
      <c r="E32" s="329">
        <f>112.79*(CONSTPH)</f>
        <v>112.79</v>
      </c>
      <c r="F32" s="330">
        <f>138.73*(CONSTPH)</f>
        <v>138.72999999999999</v>
      </c>
      <c r="H32" s="323">
        <v>700</v>
      </c>
      <c r="I32" s="581">
        <f>127.84*(CONSTPH)</f>
        <v>127.84</v>
      </c>
      <c r="J32" s="577">
        <f>138.55*(CONSTPH)</f>
        <v>138.55000000000001</v>
      </c>
      <c r="K32" s="577">
        <f>160.77*(CONSTPH)</f>
        <v>160.77000000000001</v>
      </c>
      <c r="L32" s="577">
        <f>171.39*(CONSTPH)</f>
        <v>171.39</v>
      </c>
      <c r="M32" s="578">
        <f>238.78*(CONSTPH)</f>
        <v>238.78</v>
      </c>
      <c r="O32" s="323">
        <v>700</v>
      </c>
      <c r="P32" s="577">
        <f>211.74*(CONSTPH)</f>
        <v>211.74</v>
      </c>
      <c r="Q32" s="577">
        <f>225.46*(CONSTPH)</f>
        <v>225.46</v>
      </c>
      <c r="R32" s="577">
        <f>260*(CONSTPH)</f>
        <v>260</v>
      </c>
      <c r="S32" s="577">
        <f>276.53*(CONSTPH)</f>
        <v>276.52999999999997</v>
      </c>
      <c r="T32" s="578">
        <f>329.69*(CONSTPH)</f>
        <v>329.69</v>
      </c>
      <c r="U32" s="482"/>
    </row>
    <row r="33" spans="1:21" x14ac:dyDescent="0.2">
      <c r="A33" s="323">
        <v>800</v>
      </c>
      <c r="B33" s="328">
        <f>94.37*(CONSTPH)</f>
        <v>94.37</v>
      </c>
      <c r="C33" s="573">
        <f>102.34*(CONSTPH)</f>
        <v>102.34</v>
      </c>
      <c r="D33" s="329">
        <f>106.41*(CONSTPH)</f>
        <v>106.41</v>
      </c>
      <c r="E33" s="329">
        <f>119.19*(CONSTPH)</f>
        <v>119.19</v>
      </c>
      <c r="F33" s="330">
        <f>148.01*(CONSTPH)</f>
        <v>148.01</v>
      </c>
      <c r="H33" s="323">
        <v>800</v>
      </c>
      <c r="I33" s="581">
        <f>137.35*(CONSTPH)</f>
        <v>137.35</v>
      </c>
      <c r="J33" s="577">
        <f>149.36*(CONSTPH)</f>
        <v>149.36000000000001</v>
      </c>
      <c r="K33" s="577">
        <f>174.7*(CONSTPH)</f>
        <v>174.7</v>
      </c>
      <c r="L33" s="577">
        <f>187.02*(CONSTPH)</f>
        <v>187.02</v>
      </c>
      <c r="M33" s="578">
        <f>263.4*(CONSTPH)</f>
        <v>263.39999999999998</v>
      </c>
      <c r="O33" s="323">
        <v>800</v>
      </c>
      <c r="P33" s="577">
        <f>224.86*(CONSTPH)</f>
        <v>224.86</v>
      </c>
      <c r="Q33" s="577">
        <f>240.07*(CONSTPH)</f>
        <v>240.07</v>
      </c>
      <c r="R33" s="577">
        <f>278.13*(CONSTPH)</f>
        <v>278.13</v>
      </c>
      <c r="S33" s="577">
        <f>296.94*(CONSTPH)</f>
        <v>296.94</v>
      </c>
      <c r="T33" s="578">
        <f>370.25*(CONSTPH)</f>
        <v>370.25</v>
      </c>
      <c r="U33" s="482"/>
    </row>
    <row r="34" spans="1:21" x14ac:dyDescent="0.2">
      <c r="A34" s="323">
        <v>900</v>
      </c>
      <c r="B34" s="328">
        <f>99.17*(CONSTPH)</f>
        <v>99.17</v>
      </c>
      <c r="C34" s="573">
        <f>108.31*(CONSTPH)</f>
        <v>108.31</v>
      </c>
      <c r="D34" s="329">
        <f>112.55*(CONSTPH)</f>
        <v>112.55</v>
      </c>
      <c r="E34" s="329">
        <f>125.79*(CONSTPH)</f>
        <v>125.79</v>
      </c>
      <c r="F34" s="330">
        <f>156.99*(CONSTPH)</f>
        <v>156.99</v>
      </c>
      <c r="H34" s="323">
        <v>900</v>
      </c>
      <c r="I34" s="581">
        <f>146.47*(CONSTPH)</f>
        <v>146.47</v>
      </c>
      <c r="J34" s="577">
        <f>160.38*(CONSTPH)</f>
        <v>160.38</v>
      </c>
      <c r="K34" s="577">
        <f>188.11*(CONSTPH)</f>
        <v>188.11</v>
      </c>
      <c r="L34" s="577">
        <f>201.83*(CONSTPH)</f>
        <v>201.83</v>
      </c>
      <c r="M34" s="578">
        <f>289.14*(CONSTPH)</f>
        <v>289.14</v>
      </c>
      <c r="O34" s="323">
        <v>900</v>
      </c>
      <c r="P34" s="577">
        <f>237.38*(CONSTPH)</f>
        <v>237.38</v>
      </c>
      <c r="Q34" s="577">
        <f>255.89*(CONSTPH)</f>
        <v>255.89</v>
      </c>
      <c r="R34" s="577">
        <f>298.27*(CONSTPH)</f>
        <v>298.27</v>
      </c>
      <c r="S34" s="577">
        <f>318.49*(CONSTPH)</f>
        <v>318.49</v>
      </c>
      <c r="T34" s="578">
        <f>394.37*(CONSTPH)</f>
        <v>394.37</v>
      </c>
      <c r="U34" s="482"/>
    </row>
    <row r="35" spans="1:21" x14ac:dyDescent="0.2">
      <c r="A35" s="323">
        <v>1000</v>
      </c>
      <c r="B35" s="328">
        <f>102.84*(CONSTPH)</f>
        <v>102.84</v>
      </c>
      <c r="C35" s="573">
        <f>112.77*(CONSTPH)</f>
        <v>112.77</v>
      </c>
      <c r="D35" s="329">
        <f>118.5*(CONSTPH)</f>
        <v>118.5</v>
      </c>
      <c r="E35" s="329">
        <f>132.46*(CONSTPH)</f>
        <v>132.46</v>
      </c>
      <c r="F35" s="330">
        <f>168.72*(CONSTPH)</f>
        <v>168.72</v>
      </c>
      <c r="H35" s="323">
        <v>1000</v>
      </c>
      <c r="I35" s="581">
        <f>155.77*(CONSTPH)</f>
        <v>155.77000000000001</v>
      </c>
      <c r="J35" s="577">
        <f>171.29*(CONSTPH)</f>
        <v>171.29</v>
      </c>
      <c r="K35" s="577">
        <f>201.53*(CONSTPH)</f>
        <v>201.53</v>
      </c>
      <c r="L35" s="577">
        <f>217.04*(CONSTPH)</f>
        <v>217.04</v>
      </c>
      <c r="M35" s="578">
        <f>314.28*(CONSTPH)</f>
        <v>314.27999999999997</v>
      </c>
      <c r="O35" s="323">
        <v>1000</v>
      </c>
      <c r="P35" s="577">
        <f>249.9*(CONSTPH)</f>
        <v>249.9</v>
      </c>
      <c r="Q35" s="577">
        <f>271.52*(CONSTPH)</f>
        <v>271.52</v>
      </c>
      <c r="R35" s="577">
        <f>317.58*(CONSTPH)</f>
        <v>317.58</v>
      </c>
      <c r="S35" s="577">
        <f>340.11*(CONSTPH)</f>
        <v>340.11</v>
      </c>
      <c r="T35" s="578">
        <f>421.12*(CONSTPH)</f>
        <v>421.12</v>
      </c>
      <c r="U35" s="482"/>
    </row>
    <row r="36" spans="1:21" x14ac:dyDescent="0.2">
      <c r="A36" s="323">
        <v>1100</v>
      </c>
      <c r="B36" s="328">
        <f>109.46*(CONSTPH)</f>
        <v>109.46</v>
      </c>
      <c r="C36" s="573">
        <f>120.27*(CONSTPH)</f>
        <v>120.27</v>
      </c>
      <c r="D36" s="329">
        <f>125.64*(CONSTPH)</f>
        <v>125.64</v>
      </c>
      <c r="E36" s="329">
        <f>140.08*(CONSTPH)</f>
        <v>140.08000000000001</v>
      </c>
      <c r="F36" s="330">
        <f>180.54*(CONSTPH)</f>
        <v>180.54</v>
      </c>
      <c r="H36" s="323">
        <v>1100</v>
      </c>
      <c r="I36" s="581">
        <f>164.79*(CONSTPH)</f>
        <v>164.79</v>
      </c>
      <c r="J36" s="577">
        <f>182.82*(CONSTPH)</f>
        <v>182.82</v>
      </c>
      <c r="K36" s="577">
        <f>214.95*(CONSTPH)</f>
        <v>214.95</v>
      </c>
      <c r="L36" s="577">
        <f>231.57*(CONSTPH)</f>
        <v>231.57</v>
      </c>
      <c r="M36" s="578">
        <f>339.31*(CONSTPH)</f>
        <v>339.31</v>
      </c>
      <c r="O36" s="323">
        <v>1100</v>
      </c>
      <c r="P36" s="577">
        <f>263.22*(CONSTPH)</f>
        <v>263.22000000000003</v>
      </c>
      <c r="Q36" s="577">
        <f>287.73*(CONSTPH)</f>
        <v>287.73</v>
      </c>
      <c r="R36" s="577">
        <f>337.21*(CONSTPH)</f>
        <v>337.21</v>
      </c>
      <c r="S36" s="577">
        <f>361.83*(CONSTPH)</f>
        <v>361.83</v>
      </c>
      <c r="T36" s="578">
        <f>449.45*(CONSTPH)</f>
        <v>449.45</v>
      </c>
      <c r="U36" s="482"/>
    </row>
    <row r="37" spans="1:21" x14ac:dyDescent="0.2">
      <c r="A37" s="323">
        <v>1200</v>
      </c>
      <c r="B37" s="328">
        <f>114.18*(CONSTPH)</f>
        <v>114.18</v>
      </c>
      <c r="C37" s="573">
        <f>126.06*(CONSTPH)</f>
        <v>126.06</v>
      </c>
      <c r="D37" s="329">
        <f>131.77*(CONSTPH)</f>
        <v>131.77000000000001</v>
      </c>
      <c r="E37" s="329">
        <f>147.91*(CONSTPH)</f>
        <v>147.91</v>
      </c>
      <c r="F37" s="330">
        <f>192.25*(CONSTPH)</f>
        <v>192.25</v>
      </c>
      <c r="H37" s="323">
        <v>1200</v>
      </c>
      <c r="I37" s="581">
        <f>173.6*(CONSTPH)</f>
        <v>173.6</v>
      </c>
      <c r="J37" s="577">
        <f>193.93*(CONSTPH)</f>
        <v>193.93</v>
      </c>
      <c r="K37" s="577">
        <f>228.46*(CONSTPH)</f>
        <v>228.46</v>
      </c>
      <c r="L37" s="577">
        <f>246.98*(CONSTPH)</f>
        <v>246.98</v>
      </c>
      <c r="M37" s="578">
        <f>364.94*(CONSTPH)</f>
        <v>364.94</v>
      </c>
      <c r="O37" s="323">
        <v>1200</v>
      </c>
      <c r="P37" s="577">
        <f>276.12*(CONSTPH)</f>
        <v>276.12</v>
      </c>
      <c r="Q37" s="577">
        <f>304.16*(CONSTPH)</f>
        <v>304.16000000000003</v>
      </c>
      <c r="R37" s="577">
        <f>356.93*(CONSTPH)</f>
        <v>356.93</v>
      </c>
      <c r="S37" s="577">
        <f>383.45*(CONSTPH)</f>
        <v>383.45</v>
      </c>
      <c r="T37" s="578">
        <f>479.69*(CONSTPH)</f>
        <v>479.69</v>
      </c>
      <c r="U37" s="482"/>
    </row>
    <row r="38" spans="1:21" x14ac:dyDescent="0.2">
      <c r="A38" s="323">
        <v>1400</v>
      </c>
      <c r="B38" s="328">
        <f>131.8*(CONSTPH)</f>
        <v>131.80000000000001</v>
      </c>
      <c r="C38" s="573">
        <f>145.77*(CONSTPH)</f>
        <v>145.77000000000001</v>
      </c>
      <c r="D38" s="329">
        <f>148.68*(CONSTPH)</f>
        <v>148.68</v>
      </c>
      <c r="E38" s="329">
        <f>163.59*(CONSTPH)</f>
        <v>163.59</v>
      </c>
      <c r="F38" s="330">
        <f>216.8*(CONSTPH)</f>
        <v>216.8</v>
      </c>
      <c r="H38" s="323">
        <v>1400</v>
      </c>
      <c r="I38" s="581">
        <f>191.92*(CONSTPH)</f>
        <v>191.92</v>
      </c>
      <c r="J38" s="577">
        <f>216.24*(CONSTPH)</f>
        <v>216.24</v>
      </c>
      <c r="K38" s="577">
        <f>255.81*(CONSTPH)</f>
        <v>255.81</v>
      </c>
      <c r="L38" s="577">
        <f>277.33*(CONSTPH)</f>
        <v>277.33</v>
      </c>
      <c r="M38" s="578">
        <f>415.4*(CONSTPH)</f>
        <v>415.4</v>
      </c>
      <c r="O38" s="323">
        <v>1400</v>
      </c>
      <c r="P38" s="577">
        <f>302.17*(CONSTPH)</f>
        <v>302.17</v>
      </c>
      <c r="Q38" s="577">
        <f>335.71*(CONSTPH)</f>
        <v>335.71</v>
      </c>
      <c r="R38" s="577">
        <f>395.59*(CONSTPH)</f>
        <v>395.59</v>
      </c>
      <c r="S38" s="577">
        <f>426.52*(CONSTPH)</f>
        <v>426.52</v>
      </c>
      <c r="T38" s="578">
        <f>523.07*(CONSTPH)</f>
        <v>523.07000000000005</v>
      </c>
      <c r="U38" s="482"/>
    </row>
    <row r="39" spans="1:21" x14ac:dyDescent="0.2">
      <c r="A39" s="323">
        <v>1600</v>
      </c>
      <c r="B39" s="328">
        <f>140.99*(CONSTPH)</f>
        <v>140.99</v>
      </c>
      <c r="C39" s="573">
        <f>156.79*(CONSTPH)</f>
        <v>156.79</v>
      </c>
      <c r="D39" s="329">
        <f>161.24*(CONSTPH)</f>
        <v>161.24</v>
      </c>
      <c r="E39" s="329">
        <f>183.56*(CONSTPH)</f>
        <v>183.56</v>
      </c>
      <c r="F39" s="330">
        <f>235.48*(CONSTPH)</f>
        <v>235.48</v>
      </c>
      <c r="H39" s="323">
        <v>1600</v>
      </c>
      <c r="I39" s="581">
        <f>210.25*(CONSTPH)</f>
        <v>210.25</v>
      </c>
      <c r="J39" s="577">
        <f>238.38*(CONSTPH)</f>
        <v>238.38</v>
      </c>
      <c r="K39" s="577">
        <f>282.94*(CONSTPH)</f>
        <v>282.94</v>
      </c>
      <c r="L39" s="577">
        <f>307.15*(CONSTPH)</f>
        <v>307.14999999999998</v>
      </c>
      <c r="M39" s="578">
        <f>456.07*(CONSTPH)</f>
        <v>456.07</v>
      </c>
      <c r="O39" s="323">
        <v>1600</v>
      </c>
      <c r="P39" s="577">
        <f>327.99*(CONSTPH)</f>
        <v>327.99</v>
      </c>
      <c r="Q39" s="577">
        <f>367.34*(CONSTPH)</f>
        <v>367.34</v>
      </c>
      <c r="R39" s="577">
        <f>434.82*(CONSTPH)</f>
        <v>434.82</v>
      </c>
      <c r="S39" s="577">
        <f>470.29*(CONSTPH)</f>
        <v>470.29</v>
      </c>
      <c r="T39" s="578">
        <f>574.64*(CONSTPH)</f>
        <v>574.64</v>
      </c>
      <c r="U39" s="482"/>
    </row>
    <row r="40" spans="1:21" x14ac:dyDescent="0.2">
      <c r="A40" s="323">
        <v>1800</v>
      </c>
      <c r="B40" s="328">
        <f>155.25*(CONSTPH)</f>
        <v>155.25</v>
      </c>
      <c r="C40" s="329">
        <f>172.49*(CONSTPH)</f>
        <v>172.49</v>
      </c>
      <c r="D40" s="329">
        <f>176.32*(CONSTPH)</f>
        <v>176.32</v>
      </c>
      <c r="E40" s="329">
        <f>203.11*(CONSTPH)</f>
        <v>203.11</v>
      </c>
      <c r="F40" s="330">
        <f>260.37*(CONSTPH)</f>
        <v>260.37</v>
      </c>
      <c r="H40" s="323">
        <v>1800</v>
      </c>
      <c r="I40" s="581">
        <f>228.96*(CONSTPH)</f>
        <v>228.96</v>
      </c>
      <c r="J40" s="577">
        <f>260.41*(CONSTPH)</f>
        <v>260.41000000000003</v>
      </c>
      <c r="K40" s="577">
        <f>310.26*(CONSTPH)</f>
        <v>310.26</v>
      </c>
      <c r="L40" s="577">
        <f>337.42*(CONSTPH)</f>
        <v>337.42</v>
      </c>
      <c r="M40" s="578">
        <f>506.45*(CONSTPH)</f>
        <v>506.45</v>
      </c>
      <c r="O40" s="323">
        <v>1800</v>
      </c>
      <c r="P40" s="577">
        <f>346.01*(CONSTPH)</f>
        <v>346.01</v>
      </c>
      <c r="Q40" s="577">
        <f>399.49*(CONSTPH)</f>
        <v>399.49</v>
      </c>
      <c r="R40" s="577">
        <f>473.58*(CONSTPH)</f>
        <v>473.58</v>
      </c>
      <c r="S40" s="577">
        <f>513.33*(CONSTPH)</f>
        <v>513.33000000000004</v>
      </c>
      <c r="T40" s="578">
        <f>631.11*(CONSTPH)</f>
        <v>631.11</v>
      </c>
      <c r="U40" s="482"/>
    </row>
    <row r="41" spans="1:21" x14ac:dyDescent="0.2">
      <c r="A41" s="323">
        <v>2000</v>
      </c>
      <c r="B41" s="328">
        <f>164.25*(CONSTPH)</f>
        <v>164.25</v>
      </c>
      <c r="C41" s="329">
        <f>176.82*(CONSTPH)</f>
        <v>176.82</v>
      </c>
      <c r="D41" s="329">
        <f>183.53*(CONSTPH)</f>
        <v>183.53</v>
      </c>
      <c r="E41" s="329">
        <f>211.72*(CONSTPH)</f>
        <v>211.72</v>
      </c>
      <c r="F41" s="330">
        <f>284.13*(CONSTPH)</f>
        <v>284.13</v>
      </c>
      <c r="H41" s="323">
        <v>2000</v>
      </c>
      <c r="I41" s="581">
        <f>247.19*(CONSTPH)</f>
        <v>247.19</v>
      </c>
      <c r="J41" s="577">
        <f>273.54*(CONSTPH)</f>
        <v>273.54000000000002</v>
      </c>
      <c r="K41" s="577">
        <f>327.63*(CONSTPH)</f>
        <v>327.63</v>
      </c>
      <c r="L41" s="577">
        <f>357.66*(CONSTPH)</f>
        <v>357.66</v>
      </c>
      <c r="M41" s="578">
        <f>557.62*(CONSTPH)</f>
        <v>557.62</v>
      </c>
      <c r="O41" s="323">
        <v>2000</v>
      </c>
      <c r="P41" s="577">
        <f>379.56*(CONSTPH)</f>
        <v>379.56</v>
      </c>
      <c r="Q41" s="577">
        <f>421.44*(CONSTPH)</f>
        <v>421.44</v>
      </c>
      <c r="R41" s="577">
        <f>502.65*(CONSTPH)</f>
        <v>502.65</v>
      </c>
      <c r="S41" s="577">
        <f>547.51*(CONSTPH)</f>
        <v>547.51</v>
      </c>
      <c r="T41" s="578">
        <f>671.51*(CONSTPH)</f>
        <v>671.51</v>
      </c>
      <c r="U41" s="482"/>
    </row>
    <row r="42" spans="1:21" x14ac:dyDescent="0.2">
      <c r="A42" s="323">
        <v>2300</v>
      </c>
      <c r="B42" s="328">
        <f>174*(CONSTPH)</f>
        <v>174</v>
      </c>
      <c r="C42" s="329">
        <f>196.03*(CONSTPH)</f>
        <v>196.03</v>
      </c>
      <c r="D42" s="329">
        <f>203.55*(CONSTPH)</f>
        <v>203.55</v>
      </c>
      <c r="E42" s="329">
        <f>235.97*(CONSTPH)</f>
        <v>235.97</v>
      </c>
      <c r="F42" s="330">
        <f>313.88*(CONSTPH)</f>
        <v>313.88</v>
      </c>
      <c r="H42" s="323">
        <v>2300</v>
      </c>
      <c r="I42" s="581">
        <f>264.94*(CONSTPH)</f>
        <v>264.94</v>
      </c>
      <c r="J42" s="577">
        <f>306.8*(CONSTPH)</f>
        <v>306.8</v>
      </c>
      <c r="K42" s="577">
        <f>368.68*(CONSTPH)</f>
        <v>368.68</v>
      </c>
      <c r="L42" s="577">
        <f>403.22*(CONSTPH)</f>
        <v>403.22</v>
      </c>
      <c r="M42" s="578">
        <f>628.81*(CONSTPH)</f>
        <v>628.80999999999995</v>
      </c>
      <c r="O42" s="323">
        <v>2300</v>
      </c>
      <c r="P42" s="577">
        <f>408.72*(CONSTPH)</f>
        <v>408.72</v>
      </c>
      <c r="Q42" s="577">
        <f>469.6*(CONSTPH)</f>
        <v>469.6</v>
      </c>
      <c r="R42" s="577">
        <f>561.72*(CONSTPH)</f>
        <v>561.72</v>
      </c>
      <c r="S42" s="577">
        <f>612.3*(CONSTPH)</f>
        <v>612.29999999999995</v>
      </c>
      <c r="T42" s="578">
        <f>724.97*(CONSTPH)</f>
        <v>724.97</v>
      </c>
      <c r="U42" s="482"/>
    </row>
    <row r="43" spans="1:21" x14ac:dyDescent="0.2">
      <c r="A43" s="323">
        <v>2600</v>
      </c>
      <c r="B43" s="328">
        <f>188.1*(CONSTPH)</f>
        <v>188.1</v>
      </c>
      <c r="C43" s="329">
        <f>215.35*(CONSTPH)</f>
        <v>215.35</v>
      </c>
      <c r="D43" s="329">
        <f>223.95*(CONSTPH)</f>
        <v>223.95</v>
      </c>
      <c r="E43" s="329">
        <f>264.55*(CONSTPH)</f>
        <v>264.55</v>
      </c>
      <c r="F43" s="330">
        <f>341.35*(CONSTPH)</f>
        <v>341.35</v>
      </c>
      <c r="H43" s="323">
        <v>2600</v>
      </c>
      <c r="I43" s="581">
        <f>292.38*(CONSTPH)</f>
        <v>292.38</v>
      </c>
      <c r="J43" s="577">
        <f>340.44*(CONSTPH)</f>
        <v>340.44</v>
      </c>
      <c r="K43" s="577">
        <f>409.51*(CONSTPH)</f>
        <v>409.51</v>
      </c>
      <c r="L43" s="577">
        <f>448.48*(CONSTPH)</f>
        <v>448.48</v>
      </c>
      <c r="M43" s="578">
        <f>687.53*(CONSTPH)</f>
        <v>687.53</v>
      </c>
      <c r="O43" s="323">
        <v>2600</v>
      </c>
      <c r="P43" s="577">
        <f>447.57*(CONSTPH)</f>
        <v>447.57</v>
      </c>
      <c r="Q43" s="577">
        <f>507.3*(CONSTPH)</f>
        <v>507.3</v>
      </c>
      <c r="R43" s="577">
        <f>610.42*(CONSTPH)</f>
        <v>610.41999999999996</v>
      </c>
      <c r="S43" s="577">
        <f>668.1*(CONSTPH)</f>
        <v>668.1</v>
      </c>
      <c r="T43" s="578">
        <f>793.38*(CONSTPH)</f>
        <v>793.38</v>
      </c>
      <c r="U43" s="482"/>
    </row>
    <row r="44" spans="1:21" ht="13.5" thickBot="1" x14ac:dyDescent="0.25">
      <c r="A44" s="324">
        <v>3000</v>
      </c>
      <c r="B44" s="331">
        <f>213.3*(CONSTPH)</f>
        <v>213.3</v>
      </c>
      <c r="C44" s="332">
        <f>235.72*(CONSTPH)</f>
        <v>235.72</v>
      </c>
      <c r="D44" s="332">
        <f>246.11*(CONSTPH)</f>
        <v>246.11</v>
      </c>
      <c r="E44" s="332">
        <f>288.01*(CONSTPH)</f>
        <v>288.01</v>
      </c>
      <c r="F44" s="333">
        <f>384.86*(CONSTPH)</f>
        <v>384.86</v>
      </c>
      <c r="H44" s="324">
        <v>3000</v>
      </c>
      <c r="I44" s="582">
        <f>329.12*(CONSTPH)</f>
        <v>329.12</v>
      </c>
      <c r="J44" s="579">
        <f>375.42*(CONSTPH)</f>
        <v>375.42</v>
      </c>
      <c r="K44" s="579">
        <f>454.02*(CONSTPH)</f>
        <v>454.02</v>
      </c>
      <c r="L44" s="579">
        <f>498.77*(CONSTPH)</f>
        <v>498.77</v>
      </c>
      <c r="M44" s="580">
        <f>780.75*(CONSTPH)</f>
        <v>780.75</v>
      </c>
      <c r="O44" s="324">
        <v>3000</v>
      </c>
      <c r="P44" s="579">
        <f>477.95*(CONSTPH)</f>
        <v>477.95</v>
      </c>
      <c r="Q44" s="579">
        <f>558.76*(CONSTPH)</f>
        <v>558.76</v>
      </c>
      <c r="R44" s="579">
        <f>674.51*(CONSTPH)</f>
        <v>674.51</v>
      </c>
      <c r="S44" s="579">
        <f>739.8*(CONSTPH)</f>
        <v>739.8</v>
      </c>
      <c r="T44" s="580">
        <f>880*(CONSTPH)</f>
        <v>880</v>
      </c>
      <c r="U44" s="482"/>
    </row>
    <row r="45" spans="1:21" ht="14.25" thickTop="1" thickBot="1" x14ac:dyDescent="0.25">
      <c r="B45" s="264" t="s">
        <v>203</v>
      </c>
    </row>
    <row r="46" spans="1:21" ht="14.25" thickTop="1" thickBot="1" x14ac:dyDescent="0.25">
      <c r="B46" s="264" t="s">
        <v>184</v>
      </c>
      <c r="H46" s="583" t="s">
        <v>173</v>
      </c>
      <c r="I46" s="584"/>
      <c r="J46" s="584"/>
      <c r="K46" s="584"/>
      <c r="L46" s="585"/>
      <c r="M46" s="586"/>
      <c r="N46" s="587"/>
      <c r="O46" s="267"/>
      <c r="P46" s="157" t="s">
        <v>170</v>
      </c>
    </row>
    <row r="47" spans="1:21" ht="14.25" thickTop="1" thickBot="1" x14ac:dyDescent="0.25">
      <c r="H47" s="635" t="s">
        <v>396</v>
      </c>
      <c r="I47" s="584"/>
      <c r="J47" s="584"/>
      <c r="K47" s="584"/>
      <c r="L47" s="636"/>
      <c r="M47" s="586"/>
      <c r="N47" s="97"/>
      <c r="O47" s="637"/>
      <c r="P47" s="704">
        <f>13.73*(KONSTHN)</f>
        <v>13.73</v>
      </c>
    </row>
    <row r="48" spans="1:21" ht="13.5" thickTop="1" x14ac:dyDescent="0.2">
      <c r="H48" s="639"/>
      <c r="I48" s="586"/>
      <c r="J48" s="586"/>
      <c r="K48" s="586"/>
      <c r="L48" s="586"/>
      <c r="M48" s="586"/>
      <c r="N48" s="586"/>
      <c r="O48" s="640"/>
    </row>
  </sheetData>
  <mergeCells count="8">
    <mergeCell ref="F1:O1"/>
    <mergeCell ref="B27:F27"/>
    <mergeCell ref="B6:F6"/>
    <mergeCell ref="I6:M6"/>
    <mergeCell ref="P6:T6"/>
    <mergeCell ref="H25:O25"/>
    <mergeCell ref="I27:M27"/>
    <mergeCell ref="P27:T27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workbookViewId="0">
      <selection activeCell="W9" sqref="W9"/>
    </sheetView>
  </sheetViews>
  <sheetFormatPr defaultRowHeight="12.75" x14ac:dyDescent="0.2"/>
  <cols>
    <col min="1" max="1" width="2.42578125" customWidth="1"/>
    <col min="2" max="2" width="5.7109375" customWidth="1"/>
    <col min="3" max="7" width="6.7109375" customWidth="1"/>
    <col min="8" max="8" width="1" customWidth="1"/>
    <col min="9" max="9" width="5.7109375" customWidth="1"/>
    <col min="10" max="14" width="6.5703125" customWidth="1"/>
    <col min="15" max="15" width="1.140625" customWidth="1"/>
    <col min="17" max="21" width="3.28515625" customWidth="1"/>
    <col min="22" max="22" width="5.5703125" customWidth="1"/>
    <col min="24" max="24" width="3.28515625" customWidth="1"/>
    <col min="25" max="25" width="6.140625" customWidth="1"/>
  </cols>
  <sheetData>
    <row r="1" spans="1:25" ht="19.5" x14ac:dyDescent="0.25">
      <c r="A1" s="143" t="s">
        <v>171</v>
      </c>
      <c r="B1" s="75"/>
      <c r="C1" s="44"/>
      <c r="D1" s="44"/>
      <c r="E1" s="45"/>
      <c r="F1" s="45"/>
      <c r="G1" s="44"/>
      <c r="H1" s="708" t="s">
        <v>417</v>
      </c>
      <c r="I1" s="708"/>
      <c r="J1" s="708"/>
      <c r="K1" s="708"/>
      <c r="L1" s="708"/>
      <c r="M1" s="708"/>
      <c r="N1" s="708"/>
      <c r="O1" s="44"/>
      <c r="P1" s="44"/>
      <c r="Q1" s="44"/>
      <c r="R1" s="44"/>
      <c r="S1" s="44"/>
      <c r="T1" s="44"/>
      <c r="U1" s="44"/>
      <c r="V1" s="44"/>
      <c r="W1" s="44"/>
      <c r="X1" s="44"/>
      <c r="Y1" s="156"/>
    </row>
    <row r="2" spans="1:25" ht="15" x14ac:dyDescent="0.2">
      <c r="A2" s="650"/>
      <c r="B2" s="48"/>
      <c r="C2" s="49"/>
      <c r="D2" s="49"/>
      <c r="E2" s="50"/>
      <c r="F2" s="50"/>
      <c r="G2" s="49"/>
      <c r="H2" s="49"/>
      <c r="I2" s="49"/>
      <c r="J2" s="272"/>
      <c r="K2" s="272"/>
      <c r="L2" s="272"/>
      <c r="M2" s="272"/>
      <c r="N2" s="49"/>
      <c r="O2" s="49"/>
      <c r="P2" s="49"/>
      <c r="Q2" s="49"/>
      <c r="R2" s="49"/>
      <c r="S2" s="49"/>
      <c r="T2" s="49"/>
      <c r="U2" s="76"/>
      <c r="V2" s="43"/>
      <c r="W2" s="650"/>
      <c r="X2" s="650"/>
      <c r="Y2" s="651" t="s">
        <v>416</v>
      </c>
    </row>
    <row r="3" spans="1:25" ht="13.5" thickBot="1" x14ac:dyDescent="0.25">
      <c r="A3" s="77"/>
      <c r="B3" s="77"/>
      <c r="C3" s="43"/>
      <c r="D3" s="43"/>
      <c r="E3" s="43"/>
      <c r="F3" s="43"/>
      <c r="G3" s="43"/>
      <c r="H3" s="43"/>
      <c r="I3" s="43"/>
      <c r="J3" s="273"/>
      <c r="K3" s="273"/>
      <c r="L3" s="273"/>
      <c r="M3" s="27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650"/>
    </row>
    <row r="4" spans="1:25" ht="14.25" thickTop="1" thickBot="1" x14ac:dyDescent="0.25">
      <c r="A4" s="650"/>
      <c r="B4" s="78" t="s">
        <v>173</v>
      </c>
      <c r="C4" s="647" t="s">
        <v>174</v>
      </c>
      <c r="D4" s="648"/>
      <c r="E4" s="648"/>
      <c r="F4" s="648"/>
      <c r="G4" s="649"/>
      <c r="H4" s="650"/>
      <c r="I4" s="78" t="s">
        <v>173</v>
      </c>
      <c r="J4" s="706"/>
      <c r="K4" s="706"/>
      <c r="L4" s="706"/>
      <c r="M4" s="706"/>
      <c r="N4" s="707"/>
      <c r="O4" s="650"/>
      <c r="P4" s="43"/>
      <c r="Q4" s="43"/>
      <c r="R4" s="43"/>
      <c r="S4" s="43"/>
      <c r="T4" s="43"/>
      <c r="U4" s="43"/>
      <c r="V4" s="43"/>
      <c r="W4" s="43"/>
      <c r="X4" s="43"/>
      <c r="Y4" s="650"/>
    </row>
    <row r="5" spans="1:25" ht="14.25" thickTop="1" thickBot="1" x14ac:dyDescent="0.25">
      <c r="A5" s="650"/>
      <c r="B5" s="78">
        <v>11</v>
      </c>
      <c r="C5" s="298">
        <v>300</v>
      </c>
      <c r="D5" s="303">
        <v>400</v>
      </c>
      <c r="E5" s="304">
        <v>500</v>
      </c>
      <c r="F5" s="304">
        <v>600</v>
      </c>
      <c r="G5" s="301">
        <v>900</v>
      </c>
      <c r="H5" s="650"/>
      <c r="I5" s="78" t="s">
        <v>2</v>
      </c>
      <c r="J5" s="299">
        <v>300</v>
      </c>
      <c r="K5" s="299">
        <v>400</v>
      </c>
      <c r="L5" s="302">
        <v>500</v>
      </c>
      <c r="M5" s="302">
        <v>600</v>
      </c>
      <c r="N5" s="301">
        <v>900</v>
      </c>
      <c r="O5" s="650"/>
      <c r="P5" s="43"/>
      <c r="Q5" s="43"/>
      <c r="R5" s="43"/>
      <c r="S5" s="43"/>
      <c r="T5" s="43"/>
      <c r="U5" s="43"/>
      <c r="V5" s="43"/>
      <c r="W5" s="43"/>
      <c r="X5" s="43"/>
      <c r="Y5" s="650"/>
    </row>
    <row r="6" spans="1:25" ht="15.75" thickTop="1" x14ac:dyDescent="0.25">
      <c r="A6" s="650"/>
      <c r="B6" s="83">
        <v>400</v>
      </c>
      <c r="C6" s="306">
        <f>83.95*(KONSTM)</f>
        <v>83.95</v>
      </c>
      <c r="D6" s="307">
        <f>88.03*(KONSTM)</f>
        <v>88.03</v>
      </c>
      <c r="E6" s="307">
        <f>89.08*(KONSTM)</f>
        <v>89.08</v>
      </c>
      <c r="F6" s="307">
        <f>99*(KONSTM)</f>
        <v>99</v>
      </c>
      <c r="G6" s="313">
        <f>108.32*(KONSTM)</f>
        <v>108.32</v>
      </c>
      <c r="H6" s="650"/>
      <c r="I6" s="83">
        <v>400</v>
      </c>
      <c r="J6" s="319">
        <f>97.9*(KONSTM)</f>
        <v>97.9</v>
      </c>
      <c r="K6" s="307">
        <f>105.47*(KONSTM)</f>
        <v>105.47</v>
      </c>
      <c r="L6" s="307">
        <f>118.55*(KONSTM)</f>
        <v>118.55</v>
      </c>
      <c r="M6" s="307">
        <f>124.78*(KONSTM)</f>
        <v>124.78</v>
      </c>
      <c r="N6" s="313">
        <f>163.15*(KONSTM)</f>
        <v>163.15</v>
      </c>
      <c r="O6" s="650"/>
      <c r="P6" s="43"/>
      <c r="Q6" s="43"/>
      <c r="R6" s="43"/>
      <c r="S6" s="43"/>
      <c r="T6" s="43"/>
      <c r="U6" s="43"/>
      <c r="V6" s="43"/>
      <c r="W6" s="43"/>
      <c r="X6" s="43"/>
      <c r="Y6" s="650"/>
    </row>
    <row r="7" spans="1:25" ht="15" x14ac:dyDescent="0.25">
      <c r="A7" s="650"/>
      <c r="B7" s="84">
        <v>500</v>
      </c>
      <c r="C7" s="308">
        <f>87.02*(KONSTM)</f>
        <v>87.02</v>
      </c>
      <c r="D7" s="309">
        <f>91.43*(KONSTM)</f>
        <v>91.43</v>
      </c>
      <c r="E7" s="309">
        <f>93.98*(KONSTM)</f>
        <v>93.98</v>
      </c>
      <c r="F7" s="309">
        <f>100.76*(KONSTM)</f>
        <v>100.76</v>
      </c>
      <c r="G7" s="314">
        <f>116.51*(KONSTM)</f>
        <v>116.51</v>
      </c>
      <c r="H7" s="650"/>
      <c r="I7" s="84">
        <v>500</v>
      </c>
      <c r="J7" s="320">
        <f>108.05*(KONSTM)</f>
        <v>108.05</v>
      </c>
      <c r="K7" s="309">
        <f>114.9*(KONSTM)</f>
        <v>114.9</v>
      </c>
      <c r="L7" s="309">
        <f>129.77*(KONSTM)</f>
        <v>129.77000000000001</v>
      </c>
      <c r="M7" s="309">
        <f>136.62*(KONSTM)</f>
        <v>136.62</v>
      </c>
      <c r="N7" s="314">
        <f>178.99*(KONSTM)</f>
        <v>178.99</v>
      </c>
      <c r="O7" s="650"/>
      <c r="P7" s="43"/>
      <c r="Q7" s="43"/>
      <c r="R7" s="43"/>
      <c r="S7" s="43"/>
      <c r="T7" s="43"/>
      <c r="U7" s="43"/>
      <c r="V7" s="43"/>
      <c r="W7" s="43"/>
      <c r="X7" s="43"/>
      <c r="Y7" s="650"/>
    </row>
    <row r="8" spans="1:25" ht="15" x14ac:dyDescent="0.25">
      <c r="A8" s="650"/>
      <c r="B8" s="84">
        <v>600</v>
      </c>
      <c r="C8" s="308">
        <f>90.4*(KONSTM)</f>
        <v>90.4</v>
      </c>
      <c r="D8" s="309">
        <f>95.82*(KONSTM)</f>
        <v>95.82</v>
      </c>
      <c r="E8" s="309">
        <f>99.2*(KONSTM)</f>
        <v>99.2</v>
      </c>
      <c r="F8" s="309">
        <f>106.19*(KONSTM)</f>
        <v>106.19</v>
      </c>
      <c r="G8" s="314">
        <f>125.41*(KONSTM)</f>
        <v>125.41</v>
      </c>
      <c r="H8" s="650"/>
      <c r="I8" s="84">
        <v>600</v>
      </c>
      <c r="J8" s="309">
        <f>116.51*(KONSTM)</f>
        <v>116.51</v>
      </c>
      <c r="K8" s="309">
        <f>123.9*(KONSTM)</f>
        <v>123.9</v>
      </c>
      <c r="L8" s="309">
        <f>140.81*(KONSTM)</f>
        <v>140.81</v>
      </c>
      <c r="M8" s="309">
        <f>148.73*(KONSTM)</f>
        <v>148.72999999999999</v>
      </c>
      <c r="N8" s="314">
        <f>195.37*(KONSTM)</f>
        <v>195.37</v>
      </c>
      <c r="O8" s="650"/>
      <c r="P8" s="43"/>
      <c r="Q8" s="43"/>
      <c r="R8" s="43"/>
      <c r="S8" s="43"/>
      <c r="T8" s="43"/>
      <c r="U8" s="43"/>
      <c r="V8" s="43"/>
      <c r="W8" s="43"/>
      <c r="X8" s="43"/>
      <c r="Y8" s="650"/>
    </row>
    <row r="9" spans="1:25" ht="15.75" thickBot="1" x14ac:dyDescent="0.3">
      <c r="A9" s="650"/>
      <c r="B9" s="84">
        <v>700</v>
      </c>
      <c r="C9" s="308">
        <f>92.96*(KONSTM)</f>
        <v>92.96</v>
      </c>
      <c r="D9" s="309">
        <f>99.83*(KONSTM)</f>
        <v>99.83</v>
      </c>
      <c r="E9" s="309">
        <f>105.36*(KONSTM)</f>
        <v>105.36</v>
      </c>
      <c r="F9" s="309">
        <f>111.7*(KONSTM)</f>
        <v>111.7</v>
      </c>
      <c r="G9" s="314">
        <f>133.42*(KONSTM)</f>
        <v>133.41999999999999</v>
      </c>
      <c r="H9" s="650"/>
      <c r="I9" s="84">
        <v>700</v>
      </c>
      <c r="J9" s="309">
        <f>124.61*(KONSTM)</f>
        <v>124.61</v>
      </c>
      <c r="K9" s="309">
        <f>133.58*(KONSTM)</f>
        <v>133.58000000000001</v>
      </c>
      <c r="L9" s="309">
        <f>152.2*(KONSTM)</f>
        <v>152.19999999999999</v>
      </c>
      <c r="M9" s="309">
        <f>161*(KONSTM)</f>
        <v>161</v>
      </c>
      <c r="N9" s="314">
        <f>216.64*(KONSTM)</f>
        <v>216.64</v>
      </c>
      <c r="O9" s="650"/>
      <c r="P9" s="43"/>
      <c r="Q9" s="43"/>
      <c r="R9" s="43"/>
      <c r="S9" s="85"/>
      <c r="T9" s="650"/>
      <c r="U9" s="650"/>
      <c r="V9" s="85" t="s">
        <v>172</v>
      </c>
      <c r="W9" s="652">
        <v>0</v>
      </c>
      <c r="X9" s="43"/>
      <c r="Y9" s="650"/>
    </row>
    <row r="10" spans="1:25" ht="16.5" thickTop="1" thickBot="1" x14ac:dyDescent="0.3">
      <c r="A10" s="650"/>
      <c r="B10" s="84">
        <v>800</v>
      </c>
      <c r="C10" s="308">
        <f>95.82*(KONSTM)</f>
        <v>95.82</v>
      </c>
      <c r="D10" s="309">
        <f>102.89*(KONSTM)</f>
        <v>102.89</v>
      </c>
      <c r="E10" s="309">
        <f>109.55*(KONSTM)</f>
        <v>109.55</v>
      </c>
      <c r="F10" s="309">
        <f>117.02*(KONSTM)</f>
        <v>117.02</v>
      </c>
      <c r="G10" s="314">
        <f>141.34*(KONSTM)</f>
        <v>141.34</v>
      </c>
      <c r="H10" s="650"/>
      <c r="I10" s="84">
        <v>800</v>
      </c>
      <c r="J10" s="309">
        <f>132.8*(KONSTM)</f>
        <v>132.80000000000001</v>
      </c>
      <c r="K10" s="309">
        <f>142.86*(KONSTM)</f>
        <v>142.86000000000001</v>
      </c>
      <c r="L10" s="309">
        <f>163.6*(KONSTM)</f>
        <v>163.6</v>
      </c>
      <c r="M10" s="309">
        <f>173.56*(KONSTM)</f>
        <v>173.56</v>
      </c>
      <c r="N10" s="314">
        <f>237.73*(KONSTM)</f>
        <v>237.73</v>
      </c>
      <c r="O10" s="650"/>
      <c r="P10" s="392" t="s">
        <v>175</v>
      </c>
      <c r="Q10" s="146"/>
      <c r="R10" s="648"/>
      <c r="S10" s="87"/>
      <c r="T10" s="87"/>
      <c r="U10" s="87"/>
      <c r="V10" s="146"/>
      <c r="W10" s="162"/>
      <c r="X10" s="157"/>
      <c r="Y10" s="88" t="s">
        <v>170</v>
      </c>
    </row>
    <row r="11" spans="1:25" ht="15.75" thickTop="1" x14ac:dyDescent="0.25">
      <c r="A11" s="650"/>
      <c r="B11" s="84">
        <v>900</v>
      </c>
      <c r="C11" s="308">
        <f>99.92*(KONSTM)</f>
        <v>99.92</v>
      </c>
      <c r="D11" s="309">
        <f>108.01*(KONSTM)</f>
        <v>108.01</v>
      </c>
      <c r="E11" s="309">
        <f>115.28*(KONSTM)</f>
        <v>115.28</v>
      </c>
      <c r="F11" s="309">
        <f>122.65*(KONSTM)</f>
        <v>122.65</v>
      </c>
      <c r="G11" s="314">
        <f>148.99*(KONSTM)</f>
        <v>148.99</v>
      </c>
      <c r="H11" s="650"/>
      <c r="I11" s="84">
        <v>900</v>
      </c>
      <c r="J11" s="309">
        <f>140.45*(KONSTM)</f>
        <v>140.44999999999999</v>
      </c>
      <c r="K11" s="309">
        <f>151.93*(KONSTM)</f>
        <v>151.93</v>
      </c>
      <c r="L11" s="309">
        <f>174.98*(KONSTM)</f>
        <v>174.98</v>
      </c>
      <c r="M11" s="309">
        <f>186.11*(KONSTM)</f>
        <v>186.11</v>
      </c>
      <c r="N11" s="314">
        <f>258.65*(KONSTM)</f>
        <v>258.64999999999998</v>
      </c>
      <c r="O11" s="650"/>
      <c r="P11" s="89" t="s">
        <v>193</v>
      </c>
      <c r="Q11" s="144"/>
      <c r="R11" s="90"/>
      <c r="S11" s="90"/>
      <c r="T11" s="90"/>
      <c r="U11" s="90"/>
      <c r="V11" s="144"/>
      <c r="W11" s="163"/>
      <c r="X11" s="165"/>
      <c r="Y11" s="295">
        <f>9.14*(KONSTM)</f>
        <v>9.14</v>
      </c>
    </row>
    <row r="12" spans="1:25" ht="15" x14ac:dyDescent="0.25">
      <c r="A12" s="650"/>
      <c r="B12" s="84">
        <v>1000</v>
      </c>
      <c r="C12" s="308">
        <f>102.89*(KONSTM)</f>
        <v>102.89</v>
      </c>
      <c r="D12" s="309">
        <f>111.68*(KONSTM)</f>
        <v>111.68</v>
      </c>
      <c r="E12" s="309">
        <f>121.73*(KONSTM)</f>
        <v>121.73</v>
      </c>
      <c r="F12" s="309">
        <f>128.35*(KONSTM)</f>
        <v>128.35</v>
      </c>
      <c r="G12" s="314">
        <f>159.31*(KONSTM)</f>
        <v>159.31</v>
      </c>
      <c r="H12" s="650"/>
      <c r="I12" s="84">
        <v>1000</v>
      </c>
      <c r="J12" s="309">
        <f>147.92*(KONSTM)</f>
        <v>147.91999999999999</v>
      </c>
      <c r="K12" s="309">
        <f>160.92*(KONSTM)</f>
        <v>160.91999999999999</v>
      </c>
      <c r="L12" s="309">
        <f>186.19*(KONSTM)</f>
        <v>186.19</v>
      </c>
      <c r="M12" s="309">
        <f>198.66*(KONSTM)</f>
        <v>198.66</v>
      </c>
      <c r="N12" s="314">
        <f>279.58*(KONSTM)</f>
        <v>279.58</v>
      </c>
      <c r="O12" s="650"/>
      <c r="P12" s="89" t="s">
        <v>194</v>
      </c>
      <c r="Q12" s="145"/>
      <c r="R12" s="90"/>
      <c r="S12" s="90"/>
      <c r="T12" s="90"/>
      <c r="U12" s="90"/>
      <c r="V12" s="145"/>
      <c r="W12" s="164"/>
      <c r="X12" s="91"/>
      <c r="Y12" s="296">
        <f>4.37*(KONSTM)</f>
        <v>4.37</v>
      </c>
    </row>
    <row r="13" spans="1:25" ht="15" x14ac:dyDescent="0.25">
      <c r="A13" s="650"/>
      <c r="B13" s="84">
        <v>1100</v>
      </c>
      <c r="C13" s="308">
        <f>108.84*(KONSTM)</f>
        <v>108.84</v>
      </c>
      <c r="D13" s="309">
        <f>118.34*(KONSTM)</f>
        <v>118.34</v>
      </c>
      <c r="E13" s="309">
        <f>127.97*(KONSTM)</f>
        <v>127.97</v>
      </c>
      <c r="F13" s="309">
        <f>135.02*(KONSTM)</f>
        <v>135.02000000000001</v>
      </c>
      <c r="G13" s="314">
        <f>169.73*(KONSTM)</f>
        <v>169.73</v>
      </c>
      <c r="H13" s="650"/>
      <c r="I13" s="84">
        <v>1100</v>
      </c>
      <c r="J13" s="309">
        <f>155.4*(KONSTM)</f>
        <v>155.4</v>
      </c>
      <c r="K13" s="309">
        <f>170.88*(KONSTM)</f>
        <v>170.88</v>
      </c>
      <c r="L13" s="309">
        <f>197.42*(KONSTM)</f>
        <v>197.42</v>
      </c>
      <c r="M13" s="309">
        <f>211.21*(KONSTM)</f>
        <v>211.21</v>
      </c>
      <c r="N13" s="314">
        <f>301.09*(KONSTM)</f>
        <v>301.08999999999997</v>
      </c>
      <c r="O13" s="650"/>
      <c r="P13" s="92" t="s">
        <v>195</v>
      </c>
      <c r="Q13" s="145"/>
      <c r="R13" s="141"/>
      <c r="S13" s="90"/>
      <c r="T13" s="90"/>
      <c r="U13" s="90"/>
      <c r="V13" s="145"/>
      <c r="W13" s="164"/>
      <c r="X13" s="91"/>
      <c r="Y13" s="296">
        <f>30.33*(KONSTM)</f>
        <v>30.33</v>
      </c>
    </row>
    <row r="14" spans="1:25" ht="15" x14ac:dyDescent="0.25">
      <c r="A14" s="650"/>
      <c r="B14" s="84">
        <v>1200</v>
      </c>
      <c r="C14" s="308">
        <f>112.93*(KONSTM)</f>
        <v>112.93</v>
      </c>
      <c r="D14" s="309">
        <f>123.36*(KONSTM)</f>
        <v>123.36</v>
      </c>
      <c r="E14" s="309">
        <f>134*(KONSTM)</f>
        <v>134</v>
      </c>
      <c r="F14" s="309">
        <f>141.88*(KONSTM)</f>
        <v>141.88</v>
      </c>
      <c r="G14" s="314">
        <f>180.05*(KONSTM)</f>
        <v>180.05</v>
      </c>
      <c r="H14" s="650"/>
      <c r="I14" s="84">
        <v>1200</v>
      </c>
      <c r="J14" s="309">
        <f>162.78*(KONSTM)</f>
        <v>162.78</v>
      </c>
      <c r="K14" s="309">
        <f>179.88*(KONSTM)</f>
        <v>179.88</v>
      </c>
      <c r="L14" s="309">
        <f>208.72*(KONSTM)</f>
        <v>208.72</v>
      </c>
      <c r="M14" s="309">
        <f>223.4*(KONSTM)</f>
        <v>223.4</v>
      </c>
      <c r="N14" s="314">
        <f>321.56*(KONSTM)</f>
        <v>321.56</v>
      </c>
      <c r="O14" s="650"/>
      <c r="P14" s="93" t="s">
        <v>196</v>
      </c>
      <c r="Q14" s="145"/>
      <c r="R14" s="142"/>
      <c r="S14" s="90"/>
      <c r="T14" s="90"/>
      <c r="U14" s="90"/>
      <c r="V14" s="145"/>
      <c r="W14" s="90"/>
      <c r="X14" s="101"/>
      <c r="Y14" s="296">
        <f>22.08*(KONSTM)</f>
        <v>22.08</v>
      </c>
    </row>
    <row r="15" spans="1:25" ht="15" x14ac:dyDescent="0.25">
      <c r="A15" s="650"/>
      <c r="B15" s="84">
        <v>1400</v>
      </c>
      <c r="C15" s="308">
        <f>129.1*(KONSTM)</f>
        <v>129.1</v>
      </c>
      <c r="D15" s="309">
        <f>141.29*(KONSTM)</f>
        <v>141.29</v>
      </c>
      <c r="E15" s="309">
        <f>146.9*(KONSTM)</f>
        <v>146.9</v>
      </c>
      <c r="F15" s="309">
        <f>155.66*(KONSTM)</f>
        <v>155.66</v>
      </c>
      <c r="G15" s="314">
        <f>201.78*(KONSTM)</f>
        <v>201.78</v>
      </c>
      <c r="H15" s="650"/>
      <c r="I15" s="84">
        <v>1400</v>
      </c>
      <c r="J15" s="309">
        <f>177.73*(KONSTM)</f>
        <v>177.73</v>
      </c>
      <c r="K15" s="309">
        <f>198.2*(KONSTM)</f>
        <v>198.2</v>
      </c>
      <c r="L15" s="309">
        <f>230.96*(KONSTM)</f>
        <v>230.96</v>
      </c>
      <c r="M15" s="309">
        <f>248.41*(KONSTM)</f>
        <v>248.41</v>
      </c>
      <c r="N15" s="314">
        <f>363.05*(KONSTM)</f>
        <v>363.05</v>
      </c>
      <c r="O15" s="650"/>
      <c r="P15" s="93" t="s">
        <v>197</v>
      </c>
      <c r="Q15" s="145"/>
      <c r="R15" s="142"/>
      <c r="S15" s="90"/>
      <c r="T15" s="90"/>
      <c r="U15" s="90"/>
      <c r="V15" s="145"/>
      <c r="W15" s="90"/>
      <c r="X15" s="101"/>
      <c r="Y15" s="296">
        <f>1.86*(KONSTM)</f>
        <v>1.86</v>
      </c>
    </row>
    <row r="16" spans="1:25" ht="15" x14ac:dyDescent="0.25">
      <c r="A16" s="650"/>
      <c r="B16" s="84">
        <v>1600</v>
      </c>
      <c r="C16" s="308">
        <f>136.98*(KONSTM)</f>
        <v>136.97999999999999</v>
      </c>
      <c r="D16" s="309">
        <f>150.8*(KONSTM)</f>
        <v>150.80000000000001</v>
      </c>
      <c r="E16" s="309">
        <f>159.82*(KONSTM)</f>
        <v>159.82</v>
      </c>
      <c r="F16" s="309">
        <f>173.56*(KONSTM)</f>
        <v>173.56</v>
      </c>
      <c r="G16" s="314">
        <f>222.78*(KONSTM)</f>
        <v>222.78</v>
      </c>
      <c r="H16" s="650"/>
      <c r="I16" s="84">
        <v>1600</v>
      </c>
      <c r="J16" s="309">
        <f>193.04*(KONSTM)</f>
        <v>193.04</v>
      </c>
      <c r="K16" s="309">
        <f>216.64*(KONSTM)</f>
        <v>216.64</v>
      </c>
      <c r="L16" s="309">
        <f>254.11*(KONSTM)</f>
        <v>254.11</v>
      </c>
      <c r="M16" s="309">
        <f>273.42*(KONSTM)</f>
        <v>273.42</v>
      </c>
      <c r="N16" s="314">
        <f>404.96*(KONSTM)</f>
        <v>404.96</v>
      </c>
      <c r="O16" s="650"/>
      <c r="P16" s="93" t="s">
        <v>198</v>
      </c>
      <c r="Q16" s="145"/>
      <c r="R16" s="142"/>
      <c r="S16" s="90"/>
      <c r="T16" s="90"/>
      <c r="U16" s="90"/>
      <c r="V16" s="145"/>
      <c r="W16" s="90"/>
      <c r="X16" s="101"/>
      <c r="Y16" s="296">
        <f>8.25*(KONSTM)</f>
        <v>8.25</v>
      </c>
    </row>
    <row r="17" spans="1:25" ht="15" x14ac:dyDescent="0.25">
      <c r="A17" s="650"/>
      <c r="B17" s="84">
        <v>1800</v>
      </c>
      <c r="C17" s="308">
        <f>149.78*(KONSTM)</f>
        <v>149.78</v>
      </c>
      <c r="D17" s="309">
        <f>164.83*(KONSTM)</f>
        <v>164.83</v>
      </c>
      <c r="E17" s="309">
        <f>172.5*(KONSTM)</f>
        <v>172.5</v>
      </c>
      <c r="F17" s="309">
        <f>191*(KONSTM)</f>
        <v>191</v>
      </c>
      <c r="G17" s="314">
        <f>244.85*(KONSTM)</f>
        <v>244.85</v>
      </c>
      <c r="H17" s="650"/>
      <c r="I17" s="84">
        <v>1800</v>
      </c>
      <c r="J17" s="309">
        <f>209.16*(KONSTM)</f>
        <v>209.16</v>
      </c>
      <c r="K17" s="309">
        <f>235.58*(KONSTM)</f>
        <v>235.58</v>
      </c>
      <c r="L17" s="309">
        <f>275.82*(KONSTM)</f>
        <v>275.82</v>
      </c>
      <c r="M17" s="309">
        <f>298.33*(KONSTM)</f>
        <v>298.33</v>
      </c>
      <c r="N17" s="314">
        <f>446.62*(KONSTM)</f>
        <v>446.62</v>
      </c>
      <c r="O17" s="650"/>
      <c r="P17" s="166" t="s">
        <v>199</v>
      </c>
      <c r="Q17" s="167"/>
      <c r="R17" s="168"/>
      <c r="S17" s="169"/>
      <c r="T17" s="169"/>
      <c r="U17" s="169"/>
      <c r="V17" s="167"/>
      <c r="W17" s="170"/>
      <c r="X17" s="171"/>
      <c r="Y17" s="296">
        <f>9.14*(KONSTM)</f>
        <v>9.14</v>
      </c>
    </row>
    <row r="18" spans="1:25" ht="15" x14ac:dyDescent="0.25">
      <c r="A18" s="650"/>
      <c r="B18" s="84">
        <v>2000</v>
      </c>
      <c r="C18" s="308">
        <f>157.55*(KONSTM)</f>
        <v>157.55000000000001</v>
      </c>
      <c r="D18" s="309">
        <f>174.04*(KONSTM)</f>
        <v>174.04</v>
      </c>
      <c r="E18" s="309">
        <f>186.02*(KONSTM)</f>
        <v>186.02</v>
      </c>
      <c r="F18" s="309">
        <f>203.64*(KONSTM)</f>
        <v>203.64</v>
      </c>
      <c r="G18" s="314">
        <f>265.85*(KONSTM)</f>
        <v>265.85000000000002</v>
      </c>
      <c r="H18" s="650"/>
      <c r="I18" s="84">
        <v>2000</v>
      </c>
      <c r="J18" s="309">
        <f>223.49*(KONSTM)</f>
        <v>223.49</v>
      </c>
      <c r="K18" s="309">
        <f>253.67*(KONSTM)</f>
        <v>253.67</v>
      </c>
      <c r="L18" s="309">
        <f>298.87*(KONSTM)</f>
        <v>298.87</v>
      </c>
      <c r="M18" s="309">
        <f>323.17*(KONSTM)</f>
        <v>323.17</v>
      </c>
      <c r="N18" s="314">
        <f>489.52*(KONSTM)</f>
        <v>489.52</v>
      </c>
      <c r="O18" s="650"/>
      <c r="P18" s="397" t="s">
        <v>200</v>
      </c>
      <c r="Q18" s="145"/>
      <c r="R18" s="145"/>
      <c r="S18" s="145"/>
      <c r="T18" s="145"/>
      <c r="U18" s="145"/>
      <c r="V18" s="145"/>
      <c r="W18" s="145"/>
      <c r="X18" s="203"/>
      <c r="Y18" s="296">
        <f>15.44*(KONSTM)</f>
        <v>15.44</v>
      </c>
    </row>
    <row r="19" spans="1:25" ht="15" x14ac:dyDescent="0.25">
      <c r="A19" s="650"/>
      <c r="B19" s="84">
        <v>2300</v>
      </c>
      <c r="C19" s="308">
        <f>171.79*(KONSTM)</f>
        <v>171.79</v>
      </c>
      <c r="D19" s="309">
        <f>190.92*(KONSTM)</f>
        <v>190.92</v>
      </c>
      <c r="E19" s="309">
        <f>205.15*(KONSTM)</f>
        <v>205.15</v>
      </c>
      <c r="F19" s="309">
        <f>225.01*(KONSTM)</f>
        <v>225.01</v>
      </c>
      <c r="G19" s="314">
        <f>292.02*(KONSTM)</f>
        <v>292.02</v>
      </c>
      <c r="H19" s="650"/>
      <c r="I19" s="84">
        <v>2300</v>
      </c>
      <c r="J19" s="309">
        <f>246.62*(KONSTM)</f>
        <v>246.62</v>
      </c>
      <c r="K19" s="309">
        <f>281.7*(KONSTM)</f>
        <v>281.7</v>
      </c>
      <c r="L19" s="309">
        <f>330.2*(KONSTM)</f>
        <v>330.2</v>
      </c>
      <c r="M19" s="309">
        <f>361*(KONSTM)</f>
        <v>361</v>
      </c>
      <c r="N19" s="314">
        <f>547.73*(KONSTM)</f>
        <v>547.73</v>
      </c>
      <c r="O19" s="650"/>
      <c r="P19" s="397" t="s">
        <v>394</v>
      </c>
      <c r="Q19" s="145"/>
      <c r="R19" s="145"/>
      <c r="S19" s="145"/>
      <c r="T19" s="145"/>
      <c r="U19" s="145"/>
      <c r="V19" s="145"/>
      <c r="W19" s="145"/>
      <c r="X19" s="145"/>
      <c r="Y19" s="563">
        <f>2.26*(KONSTM)</f>
        <v>2.2599999999999998</v>
      </c>
    </row>
    <row r="20" spans="1:25" ht="15" x14ac:dyDescent="0.25">
      <c r="A20" s="650"/>
      <c r="B20" s="84">
        <v>2600</v>
      </c>
      <c r="C20" s="308">
        <f>183.97*(KONSTM)</f>
        <v>183.97</v>
      </c>
      <c r="D20" s="309">
        <f>207.92*(KONSTM)</f>
        <v>207.92</v>
      </c>
      <c r="E20" s="309">
        <f>224.62*(KONSTM)</f>
        <v>224.62</v>
      </c>
      <c r="F20" s="309">
        <f>250.54*(KONSTM)</f>
        <v>250.54</v>
      </c>
      <c r="G20" s="314">
        <f>320.68*(KONSTM)</f>
        <v>320.68</v>
      </c>
      <c r="H20" s="650"/>
      <c r="I20" s="84">
        <v>2600</v>
      </c>
      <c r="J20" s="309">
        <f>273.24*(KONSTM)</f>
        <v>273.24</v>
      </c>
      <c r="K20" s="309">
        <f>309.55*(KONSTM)</f>
        <v>309.55</v>
      </c>
      <c r="L20" s="309">
        <f>366.25*(KONSTM)</f>
        <v>366.25</v>
      </c>
      <c r="M20" s="309">
        <f>398.02*(KONSTM)</f>
        <v>398.02</v>
      </c>
      <c r="N20" s="314">
        <f>605.05*(KONSTM)</f>
        <v>605.04999999999995</v>
      </c>
      <c r="O20" s="650"/>
      <c r="P20" s="562" t="s">
        <v>201</v>
      </c>
      <c r="Q20" s="145"/>
      <c r="R20" s="145"/>
      <c r="S20" s="145"/>
      <c r="T20" s="145"/>
      <c r="U20" s="145"/>
      <c r="V20" s="145"/>
      <c r="W20" s="145"/>
      <c r="X20" s="203"/>
      <c r="Y20" s="296">
        <f>35.59*(KONSTM)</f>
        <v>35.590000000000003</v>
      </c>
    </row>
    <row r="21" spans="1:25" ht="15.75" thickBot="1" x14ac:dyDescent="0.3">
      <c r="A21" s="650"/>
      <c r="B21" s="86">
        <v>3000</v>
      </c>
      <c r="C21" s="310">
        <f>206.5*(KONSTM)</f>
        <v>206.5</v>
      </c>
      <c r="D21" s="311">
        <f>231.36*(KONSTM)</f>
        <v>231.36</v>
      </c>
      <c r="E21" s="311">
        <f>250.72*(KONSTM)</f>
        <v>250.72</v>
      </c>
      <c r="F21" s="311">
        <f>276.08*(KONSTM)</f>
        <v>276.08</v>
      </c>
      <c r="G21" s="315">
        <f>359.23*(KONSTM)</f>
        <v>359.23</v>
      </c>
      <c r="H21" s="650"/>
      <c r="I21" s="86">
        <v>3000</v>
      </c>
      <c r="J21" s="311">
        <f>299.86*(KONSTM)</f>
        <v>299.86</v>
      </c>
      <c r="K21" s="311">
        <f>346.75*(KONSTM)</f>
        <v>346.75</v>
      </c>
      <c r="L21" s="311">
        <f>411.29*(KONSTM)</f>
        <v>411.29</v>
      </c>
      <c r="M21" s="311">
        <f>447.77*(KONSTM)</f>
        <v>447.77</v>
      </c>
      <c r="N21" s="315">
        <f>681.95*(KONSTM)</f>
        <v>681.95</v>
      </c>
      <c r="O21" s="650"/>
      <c r="P21" s="172" t="s">
        <v>202</v>
      </c>
      <c r="Q21" s="147"/>
      <c r="R21" s="173"/>
      <c r="S21" s="174"/>
      <c r="T21" s="174"/>
      <c r="U21" s="174"/>
      <c r="V21" s="147"/>
      <c r="W21" s="175"/>
      <c r="X21" s="176"/>
      <c r="Y21" s="561">
        <f>5.42*(KONSTM)</f>
        <v>5.42</v>
      </c>
    </row>
    <row r="22" spans="1:25" ht="6" customHeight="1" thickTop="1" x14ac:dyDescent="0.2">
      <c r="A22" s="201"/>
      <c r="B22" s="665">
        <f>1-W9</f>
        <v>1</v>
      </c>
      <c r="C22" s="149"/>
      <c r="D22" s="149"/>
      <c r="E22" s="149"/>
      <c r="F22" s="149"/>
      <c r="G22" s="149"/>
      <c r="H22" s="650"/>
      <c r="I22" s="650"/>
      <c r="J22" s="266"/>
      <c r="K22" s="266"/>
      <c r="L22" s="266"/>
      <c r="M22" s="266"/>
      <c r="N22" s="149"/>
      <c r="O22" s="650"/>
      <c r="P22" s="150"/>
      <c r="Q22" s="151"/>
      <c r="R22" s="150"/>
      <c r="S22" s="152"/>
      <c r="T22" s="152"/>
      <c r="U22" s="152"/>
      <c r="V22" s="151"/>
      <c r="W22" s="153"/>
      <c r="X22" s="153"/>
      <c r="Y22" s="650"/>
    </row>
    <row r="23" spans="1:25" ht="3" customHeight="1" thickBot="1" x14ac:dyDescent="0.25">
      <c r="A23" s="4">
        <f>(1-W9)</f>
        <v>1</v>
      </c>
      <c r="B23" s="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660"/>
      <c r="P23" s="661"/>
      <c r="Q23" s="650"/>
      <c r="R23" s="650"/>
      <c r="S23" s="650"/>
      <c r="T23" s="650"/>
      <c r="U23" s="650"/>
      <c r="V23" s="650"/>
      <c r="W23" s="650"/>
      <c r="X23" s="650"/>
      <c r="Y23" s="650"/>
    </row>
    <row r="24" spans="1:25" ht="14.25" thickTop="1" thickBot="1" x14ac:dyDescent="0.25">
      <c r="B24" s="78" t="s">
        <v>173</v>
      </c>
      <c r="C24" s="705" t="s">
        <v>174</v>
      </c>
      <c r="D24" s="706"/>
      <c r="E24" s="706"/>
      <c r="F24" s="706"/>
      <c r="G24" s="707"/>
      <c r="H24" s="43"/>
      <c r="I24" s="78" t="s">
        <v>173</v>
      </c>
      <c r="J24" s="706"/>
      <c r="K24" s="706"/>
      <c r="L24" s="706"/>
      <c r="M24" s="706"/>
      <c r="N24" s="707"/>
      <c r="O24" s="571"/>
      <c r="P24" s="662"/>
      <c r="Q24" s="650"/>
      <c r="R24" s="650"/>
      <c r="S24" s="650"/>
      <c r="T24" s="650"/>
      <c r="U24" s="650"/>
      <c r="V24" s="650"/>
      <c r="W24" s="664"/>
      <c r="X24" s="650"/>
      <c r="Y24" s="650"/>
    </row>
    <row r="25" spans="1:25" ht="14.25" thickTop="1" thickBot="1" x14ac:dyDescent="0.25">
      <c r="B25" s="78">
        <v>22</v>
      </c>
      <c r="C25" s="303">
        <v>300</v>
      </c>
      <c r="D25" s="303">
        <v>400</v>
      </c>
      <c r="E25" s="304">
        <v>500</v>
      </c>
      <c r="F25" s="304">
        <v>600</v>
      </c>
      <c r="G25" s="301">
        <v>900</v>
      </c>
      <c r="H25" s="43"/>
      <c r="I25" s="78">
        <v>33</v>
      </c>
      <c r="J25" s="299">
        <v>300</v>
      </c>
      <c r="K25" s="299">
        <v>400</v>
      </c>
      <c r="L25" s="302">
        <v>500</v>
      </c>
      <c r="M25" s="302">
        <v>600</v>
      </c>
      <c r="N25" s="301">
        <v>900</v>
      </c>
      <c r="O25" s="571"/>
      <c r="P25" s="622"/>
      <c r="Q25" s="650"/>
      <c r="R25" s="650"/>
      <c r="S25" s="650"/>
      <c r="T25" s="650"/>
      <c r="U25" s="650"/>
      <c r="V25" s="650"/>
      <c r="W25" s="650"/>
      <c r="X25" s="650"/>
      <c r="Y25" s="650"/>
    </row>
    <row r="26" spans="1:25" ht="15.75" thickTop="1" x14ac:dyDescent="0.25">
      <c r="B26" s="83">
        <v>400</v>
      </c>
      <c r="C26" s="319">
        <f>102.62*(KONSTM)</f>
        <v>102.62</v>
      </c>
      <c r="D26" s="307">
        <f>110.81*(KONSTM)</f>
        <v>110.81</v>
      </c>
      <c r="E26" s="307">
        <f>124.51*(KONSTM)</f>
        <v>124.51</v>
      </c>
      <c r="F26" s="307">
        <f>131.46*(KONSTM)</f>
        <v>131.46</v>
      </c>
      <c r="G26" s="313">
        <f>172.14*(KONSTM)</f>
        <v>172.14</v>
      </c>
      <c r="H26" s="43"/>
      <c r="I26" s="83">
        <v>400</v>
      </c>
      <c r="J26" s="307">
        <f>175.79*(KONSTM)</f>
        <v>175.79</v>
      </c>
      <c r="K26" s="307">
        <f>182.99*(KONSTM)</f>
        <v>182.99</v>
      </c>
      <c r="L26" s="307">
        <f>205.32*(KONSTM)</f>
        <v>205.32</v>
      </c>
      <c r="M26" s="307">
        <f>216.29*(KONSTM)</f>
        <v>216.29</v>
      </c>
      <c r="N26" s="313">
        <f>224.9*(KONSTM)</f>
        <v>224.9</v>
      </c>
      <c r="O26" s="663"/>
      <c r="P26" s="266"/>
      <c r="Q26" s="650"/>
      <c r="R26" s="650"/>
      <c r="S26" s="650"/>
      <c r="T26" s="650"/>
      <c r="U26" s="650"/>
      <c r="V26" s="650"/>
      <c r="W26" s="650"/>
      <c r="X26" s="650"/>
      <c r="Y26" s="650"/>
    </row>
    <row r="27" spans="1:25" ht="15" x14ac:dyDescent="0.25">
      <c r="B27" s="84">
        <v>500</v>
      </c>
      <c r="C27" s="320">
        <f>113.3*(KONSTM)</f>
        <v>113.3</v>
      </c>
      <c r="D27" s="309">
        <f>120.6*(KONSTM)</f>
        <v>120.6</v>
      </c>
      <c r="E27" s="309">
        <f>136.45*(KONSTM)</f>
        <v>136.44999999999999</v>
      </c>
      <c r="F27" s="309">
        <f>143.74*(KONSTM)</f>
        <v>143.74</v>
      </c>
      <c r="G27" s="314">
        <f>189.49*(KONSTM)</f>
        <v>189.49</v>
      </c>
      <c r="H27" s="43"/>
      <c r="I27" s="84">
        <v>500</v>
      </c>
      <c r="J27" s="309">
        <f>185.12*(KONSTM)</f>
        <v>185.12</v>
      </c>
      <c r="K27" s="309">
        <f>193.67*(KONSTM)</f>
        <v>193.67</v>
      </c>
      <c r="L27" s="309">
        <f>218.87*(KONSTM)</f>
        <v>218.87</v>
      </c>
      <c r="M27" s="309">
        <f>230.44*(KONSTM)</f>
        <v>230.44</v>
      </c>
      <c r="N27" s="314">
        <f>250.01*(KONSTM)</f>
        <v>250.01</v>
      </c>
      <c r="O27" s="149"/>
      <c r="P27" s="266"/>
      <c r="Q27" s="650"/>
      <c r="R27" s="650"/>
      <c r="S27" s="650"/>
      <c r="T27" s="650"/>
      <c r="U27" s="650"/>
      <c r="V27" s="650"/>
      <c r="W27" s="650"/>
      <c r="X27" s="650"/>
      <c r="Y27" s="650"/>
    </row>
    <row r="28" spans="1:25" ht="15" x14ac:dyDescent="0.25">
      <c r="B28" s="84">
        <v>600</v>
      </c>
      <c r="C28" s="309">
        <f>122.92*(KONSTM)</f>
        <v>122.92</v>
      </c>
      <c r="D28" s="309">
        <f>130.66*(KONSTM)</f>
        <v>130.66</v>
      </c>
      <c r="E28" s="309">
        <f>148.28*(KONSTM)</f>
        <v>148.28</v>
      </c>
      <c r="F28" s="309">
        <f>156.82*(KONSTM)</f>
        <v>156.82</v>
      </c>
      <c r="G28" s="314">
        <f>206.76*(KONSTM)</f>
        <v>206.76</v>
      </c>
      <c r="H28" s="43"/>
      <c r="I28" s="84">
        <v>600</v>
      </c>
      <c r="J28" s="309">
        <f>194.93*(KONSTM)</f>
        <v>194.93</v>
      </c>
      <c r="K28" s="309">
        <f>205.32*(KONSTM)</f>
        <v>205.32</v>
      </c>
      <c r="L28" s="309">
        <f>233.45*(KONSTM)</f>
        <v>233.45</v>
      </c>
      <c r="M28" s="309">
        <f>246.26*(KONSTM)</f>
        <v>246.26</v>
      </c>
      <c r="N28" s="314">
        <f>278.23*(KONSTM)</f>
        <v>278.23</v>
      </c>
      <c r="O28" s="149"/>
      <c r="P28" s="413"/>
      <c r="Q28" s="650"/>
      <c r="R28" s="650"/>
      <c r="S28" s="650"/>
      <c r="T28" s="650"/>
      <c r="U28" s="650"/>
      <c r="V28" s="650"/>
      <c r="W28" s="650"/>
      <c r="X28" s="650"/>
      <c r="Y28" s="650"/>
    </row>
    <row r="29" spans="1:25" ht="15" x14ac:dyDescent="0.25">
      <c r="B29" s="84">
        <v>700</v>
      </c>
      <c r="C29" s="309">
        <f>131.02*(KONSTM)</f>
        <v>131.02000000000001</v>
      </c>
      <c r="D29" s="309">
        <f>140.54*(KONSTM)</f>
        <v>140.54</v>
      </c>
      <c r="E29" s="309">
        <f>160.28*(KONSTM)</f>
        <v>160.28</v>
      </c>
      <c r="F29" s="309">
        <f>169.73*(KONSTM)</f>
        <v>169.73</v>
      </c>
      <c r="G29" s="314">
        <f>229.63*(KONSTM)</f>
        <v>229.63</v>
      </c>
      <c r="H29" s="43"/>
      <c r="I29" s="84">
        <v>700</v>
      </c>
      <c r="J29" s="309">
        <f>205.6*(KONSTM)</f>
        <v>205.6</v>
      </c>
      <c r="K29" s="309">
        <f>217.79*(KONSTM)</f>
        <v>217.79</v>
      </c>
      <c r="L29" s="309">
        <f>248.5*(KONSTM)</f>
        <v>248.5</v>
      </c>
      <c r="M29" s="309">
        <f>263.18*(KONSTM)</f>
        <v>263.18</v>
      </c>
      <c r="N29" s="314">
        <f>310.44*(KONSTM)</f>
        <v>310.44</v>
      </c>
      <c r="O29" s="149"/>
      <c r="P29" s="413"/>
      <c r="Q29" s="650"/>
      <c r="R29" s="650"/>
      <c r="S29" s="650"/>
      <c r="T29" s="650"/>
      <c r="U29" s="650"/>
      <c r="V29" s="650"/>
      <c r="W29" s="650"/>
      <c r="X29" s="650"/>
      <c r="Y29" s="650"/>
    </row>
    <row r="30" spans="1:25" ht="15" x14ac:dyDescent="0.25">
      <c r="B30" s="84">
        <v>800</v>
      </c>
      <c r="C30" s="309">
        <f>139.48*(KONSTM)</f>
        <v>139.47999999999999</v>
      </c>
      <c r="D30" s="309">
        <f>150.14*(KONSTM)</f>
        <v>150.13999999999999</v>
      </c>
      <c r="E30" s="309">
        <f>172.67*(KONSTM)</f>
        <v>172.67</v>
      </c>
      <c r="F30" s="309">
        <f>183.62*(KONSTM)</f>
        <v>183.62</v>
      </c>
      <c r="G30" s="314">
        <f>251.52*(KONSTM)</f>
        <v>251.52</v>
      </c>
      <c r="H30" s="43"/>
      <c r="I30" s="84">
        <v>800</v>
      </c>
      <c r="J30" s="309">
        <f>217.26*(KONSTM)</f>
        <v>217.26</v>
      </c>
      <c r="K30" s="309">
        <f>230.78*(KONSTM)</f>
        <v>230.78</v>
      </c>
      <c r="L30" s="309">
        <f>264.61*(KONSTM)</f>
        <v>264.61</v>
      </c>
      <c r="M30" s="309">
        <f>281.33*(KONSTM)</f>
        <v>281.33</v>
      </c>
      <c r="N30" s="314">
        <f>346.49*(KONSTM)</f>
        <v>346.49</v>
      </c>
      <c r="O30" s="149"/>
      <c r="P30" s="413"/>
      <c r="Q30" s="650"/>
      <c r="R30" s="650"/>
      <c r="S30" s="650"/>
      <c r="T30" s="650"/>
      <c r="U30" s="650"/>
      <c r="V30" s="650"/>
      <c r="W30" s="650"/>
      <c r="X30" s="650"/>
      <c r="Y30" s="650"/>
    </row>
    <row r="31" spans="1:25" ht="15" x14ac:dyDescent="0.25">
      <c r="B31" s="84">
        <v>900</v>
      </c>
      <c r="C31" s="309">
        <f>147.58*(KONSTM)</f>
        <v>147.58000000000001</v>
      </c>
      <c r="D31" s="309">
        <f>159.95*(KONSTM)</f>
        <v>159.94999999999999</v>
      </c>
      <c r="E31" s="309">
        <f>184.6*(KONSTM)</f>
        <v>184.6</v>
      </c>
      <c r="F31" s="309">
        <f>196.79*(KONSTM)</f>
        <v>196.79</v>
      </c>
      <c r="G31" s="314">
        <f>274.39*(KONSTM)</f>
        <v>274.39</v>
      </c>
      <c r="H31" s="43"/>
      <c r="I31" s="84">
        <v>900</v>
      </c>
      <c r="J31" s="309">
        <f>228.38*(KONSTM)</f>
        <v>228.38</v>
      </c>
      <c r="K31" s="309">
        <f>244.85*(KONSTM)</f>
        <v>244.85</v>
      </c>
      <c r="L31" s="309">
        <f>282.5*(KONSTM)</f>
        <v>282.5</v>
      </c>
      <c r="M31" s="309">
        <f>300.48*(KONSTM)</f>
        <v>300.48</v>
      </c>
      <c r="N31" s="314">
        <f>367.93*(KONSTM)</f>
        <v>367.93</v>
      </c>
      <c r="O31" s="149"/>
      <c r="P31" s="413"/>
      <c r="Q31" s="650"/>
      <c r="R31" s="650"/>
      <c r="S31" s="650"/>
      <c r="T31" s="650"/>
      <c r="U31" s="650"/>
      <c r="V31" s="650"/>
      <c r="W31" s="650"/>
      <c r="X31" s="650"/>
      <c r="Y31" s="650"/>
    </row>
    <row r="32" spans="1:25" ht="15" x14ac:dyDescent="0.25">
      <c r="B32" s="84">
        <v>1000</v>
      </c>
      <c r="C32" s="309">
        <f>155.84*(KONSTM)</f>
        <v>155.84</v>
      </c>
      <c r="D32" s="309">
        <f>169.64*(KONSTM)</f>
        <v>169.64</v>
      </c>
      <c r="E32" s="309">
        <f>196.52*(KONSTM)</f>
        <v>196.52</v>
      </c>
      <c r="F32" s="309">
        <f>210.31*(KONSTM)</f>
        <v>210.31</v>
      </c>
      <c r="G32" s="314">
        <f>296.74*(KONSTM)</f>
        <v>296.74</v>
      </c>
      <c r="H32" s="43"/>
      <c r="I32" s="84">
        <v>1000</v>
      </c>
      <c r="J32" s="309">
        <f>239.52*(KONSTM)</f>
        <v>239.52</v>
      </c>
      <c r="K32" s="309">
        <f>258.73*(KONSTM)</f>
        <v>258.73</v>
      </c>
      <c r="L32" s="309">
        <f>299.68*(KONSTM)</f>
        <v>299.68</v>
      </c>
      <c r="M32" s="309">
        <f>319.7*(KONSTM)</f>
        <v>319.7</v>
      </c>
      <c r="N32" s="314">
        <f>391.72*(KONSTM)</f>
        <v>391.72</v>
      </c>
      <c r="O32" s="149"/>
      <c r="P32" s="413"/>
      <c r="Q32" s="650"/>
      <c r="R32" s="650"/>
      <c r="S32" s="650"/>
      <c r="T32" s="650"/>
      <c r="U32" s="650"/>
      <c r="V32" s="650"/>
      <c r="W32" s="650"/>
      <c r="X32" s="650"/>
      <c r="Y32" s="650"/>
    </row>
    <row r="33" spans="1:25" ht="15" x14ac:dyDescent="0.25">
      <c r="B33" s="84">
        <v>1100</v>
      </c>
      <c r="C33" s="309">
        <f>163.86*(KONSTM)</f>
        <v>163.86</v>
      </c>
      <c r="D33" s="309">
        <f>179.88*(KONSTM)</f>
        <v>179.88</v>
      </c>
      <c r="E33" s="309">
        <f>208.45*(KONSTM)</f>
        <v>208.45</v>
      </c>
      <c r="F33" s="309">
        <f>223.22*(KONSTM)</f>
        <v>223.22</v>
      </c>
      <c r="G33" s="314">
        <f>319*(KONSTM)</f>
        <v>319</v>
      </c>
      <c r="H33" s="43"/>
      <c r="I33" s="84">
        <v>1100</v>
      </c>
      <c r="J33" s="309">
        <f>251.35*(KONSTM)</f>
        <v>251.35</v>
      </c>
      <c r="K33" s="309">
        <f>273.14*(KONSTM)</f>
        <v>273.14</v>
      </c>
      <c r="L33" s="309">
        <f>317.12*(KONSTM)</f>
        <v>317.12</v>
      </c>
      <c r="M33" s="309">
        <f>339.01*(KONSTM)</f>
        <v>339.01</v>
      </c>
      <c r="N33" s="314">
        <f>416.89*(KONSTM)</f>
        <v>416.89</v>
      </c>
      <c r="O33" s="149"/>
      <c r="P33" s="413"/>
      <c r="Q33" s="650"/>
      <c r="R33" s="650"/>
      <c r="S33" s="650"/>
      <c r="T33" s="650"/>
      <c r="U33" s="650"/>
      <c r="V33" s="650"/>
      <c r="W33" s="650"/>
      <c r="X33" s="650"/>
      <c r="Y33" s="650"/>
    </row>
    <row r="34" spans="1:25" ht="15" x14ac:dyDescent="0.25">
      <c r="B34" s="84">
        <v>1200</v>
      </c>
      <c r="C34" s="309">
        <f>171.7*(KONSTM)</f>
        <v>171.7</v>
      </c>
      <c r="D34" s="309">
        <f>189.76*(KONSTM)</f>
        <v>189.76</v>
      </c>
      <c r="E34" s="309">
        <f>220.46*(KONSTM)</f>
        <v>220.46</v>
      </c>
      <c r="F34" s="309">
        <f>236.92*(KONSTM)</f>
        <v>236.92</v>
      </c>
      <c r="G34" s="314">
        <f>341.77*(KONSTM)</f>
        <v>341.77</v>
      </c>
      <c r="H34" s="43"/>
      <c r="I34" s="84">
        <v>1200</v>
      </c>
      <c r="J34" s="309">
        <f>262.82*(KONSTM)</f>
        <v>262.82</v>
      </c>
      <c r="K34" s="309">
        <f>287.75*(KONSTM)</f>
        <v>287.75</v>
      </c>
      <c r="L34" s="309">
        <f>334.66*(KONSTM)</f>
        <v>334.66</v>
      </c>
      <c r="M34" s="309">
        <f>358.22*(KONSTM)</f>
        <v>358.22</v>
      </c>
      <c r="N34" s="314">
        <f>443.77*(KONSTM)</f>
        <v>443.77</v>
      </c>
      <c r="O34" s="149"/>
      <c r="P34" s="413"/>
      <c r="Q34" s="650"/>
      <c r="R34" s="650"/>
      <c r="S34" s="650"/>
      <c r="T34" s="650"/>
      <c r="U34" s="650"/>
      <c r="V34" s="650"/>
      <c r="W34" s="650"/>
      <c r="X34" s="650"/>
      <c r="Y34" s="650"/>
    </row>
    <row r="35" spans="1:25" ht="15" x14ac:dyDescent="0.25">
      <c r="B35" s="84">
        <v>1400</v>
      </c>
      <c r="C35" s="309">
        <f>187.98*(KONSTM)</f>
        <v>187.98</v>
      </c>
      <c r="D35" s="309">
        <f>209.6*(KONSTM)</f>
        <v>209.6</v>
      </c>
      <c r="E35" s="309">
        <f>244.76*(KONSTM)</f>
        <v>244.76</v>
      </c>
      <c r="F35" s="309">
        <f>263.89*(KONSTM)</f>
        <v>263.89</v>
      </c>
      <c r="G35" s="314">
        <f>386.63*(KONSTM)</f>
        <v>386.63</v>
      </c>
      <c r="H35" s="43"/>
      <c r="I35" s="84">
        <v>1400</v>
      </c>
      <c r="J35" s="309">
        <f>285.97*(KONSTM)</f>
        <v>285.97000000000003</v>
      </c>
      <c r="K35" s="309">
        <f>315.79*(KONSTM)</f>
        <v>315.79000000000002</v>
      </c>
      <c r="L35" s="309">
        <f>369.01*(KONSTM)</f>
        <v>369.01</v>
      </c>
      <c r="M35" s="309">
        <f>396.52*(KONSTM)</f>
        <v>396.52</v>
      </c>
      <c r="N35" s="314">
        <f>491.03*(KONSTM)</f>
        <v>491.03</v>
      </c>
      <c r="O35" s="149"/>
      <c r="P35" s="413"/>
      <c r="Q35" s="650"/>
      <c r="R35" s="650"/>
      <c r="S35" s="650"/>
      <c r="T35" s="650"/>
      <c r="U35" s="650"/>
      <c r="V35" s="650"/>
      <c r="W35" s="650"/>
      <c r="X35" s="650"/>
      <c r="Y35" s="650"/>
    </row>
    <row r="36" spans="1:25" ht="15" x14ac:dyDescent="0.25">
      <c r="B36" s="84">
        <v>1600</v>
      </c>
      <c r="C36" s="309">
        <f>204.26*(KONSTM)</f>
        <v>204.26</v>
      </c>
      <c r="D36" s="309">
        <f>229.27*(KONSTM)</f>
        <v>229.27</v>
      </c>
      <c r="E36" s="309">
        <f>268.88*(KONSTM)</f>
        <v>268.88</v>
      </c>
      <c r="F36" s="309">
        <f>290.41*(KONSTM)</f>
        <v>290.41000000000003</v>
      </c>
      <c r="G36" s="314">
        <f>431.48*(KONSTM)</f>
        <v>431.48</v>
      </c>
      <c r="H36" s="43"/>
      <c r="I36" s="84">
        <v>1600</v>
      </c>
      <c r="J36" s="309">
        <f>308.93*(KONSTM)</f>
        <v>308.93</v>
      </c>
      <c r="K36" s="309">
        <f>343.91*(KONSTM)</f>
        <v>343.91</v>
      </c>
      <c r="L36" s="309">
        <f>403.9*(KONSTM)</f>
        <v>403.9</v>
      </c>
      <c r="M36" s="309">
        <f>435.42*(KONSTM)</f>
        <v>435.42</v>
      </c>
      <c r="N36" s="314">
        <f>536.87*(KONSTM)</f>
        <v>536.87</v>
      </c>
      <c r="O36" s="149"/>
      <c r="P36" s="413"/>
      <c r="Q36" s="650"/>
      <c r="R36" s="650"/>
      <c r="S36" s="650"/>
      <c r="T36" s="650"/>
      <c r="U36" s="650"/>
      <c r="V36" s="650"/>
      <c r="W36" s="650"/>
      <c r="X36" s="650"/>
      <c r="Y36" s="650"/>
    </row>
    <row r="37" spans="1:25" ht="15" x14ac:dyDescent="0.25">
      <c r="B37" s="84">
        <v>1800</v>
      </c>
      <c r="C37" s="309">
        <f>220.91*(KONSTM)</f>
        <v>220.91</v>
      </c>
      <c r="D37" s="309">
        <f>248.86*(KONSTM)</f>
        <v>248.86</v>
      </c>
      <c r="E37" s="309">
        <f>293.17*(KONSTM)</f>
        <v>293.17</v>
      </c>
      <c r="F37" s="309">
        <f>317.32*(KONSTM)</f>
        <v>317.32</v>
      </c>
      <c r="G37" s="314">
        <f>476.26*(KONSTM)</f>
        <v>476.26</v>
      </c>
      <c r="H37" s="43"/>
      <c r="I37" s="84">
        <v>1800</v>
      </c>
      <c r="J37" s="309">
        <f>324.95*(KONSTM)</f>
        <v>324.95</v>
      </c>
      <c r="K37" s="309">
        <f>372.48*(KONSTM)</f>
        <v>372.48</v>
      </c>
      <c r="L37" s="309">
        <f>438.34*(KONSTM)</f>
        <v>438.34</v>
      </c>
      <c r="M37" s="309">
        <f>473.68*(KONSTM)</f>
        <v>473.68</v>
      </c>
      <c r="N37" s="314">
        <f>587.06*(KONSTM)</f>
        <v>587.05999999999995</v>
      </c>
      <c r="O37" s="149"/>
      <c r="P37" s="413"/>
      <c r="Q37" s="650"/>
      <c r="R37" s="650"/>
      <c r="S37" s="650"/>
      <c r="T37" s="650"/>
      <c r="U37" s="650"/>
      <c r="V37" s="650"/>
      <c r="W37" s="650"/>
      <c r="X37" s="650"/>
      <c r="Y37" s="650"/>
    </row>
    <row r="38" spans="1:25" ht="15" x14ac:dyDescent="0.25">
      <c r="B38" s="84">
        <v>2000</v>
      </c>
      <c r="C38" s="309">
        <f>237.11*(KONSTM)</f>
        <v>237.11</v>
      </c>
      <c r="D38" s="309">
        <f>269.23*(KONSTM)</f>
        <v>269.23</v>
      </c>
      <c r="E38" s="309">
        <f>317.32*(KONSTM)</f>
        <v>317.32</v>
      </c>
      <c r="F38" s="309">
        <f>343.99*(KONSTM)</f>
        <v>343.99</v>
      </c>
      <c r="G38" s="314">
        <f>521.75*(KONSTM)</f>
        <v>521.75</v>
      </c>
      <c r="H38" s="43"/>
      <c r="I38" s="84">
        <v>2000</v>
      </c>
      <c r="J38" s="309">
        <f>354.77*(KONSTM)</f>
        <v>354.77</v>
      </c>
      <c r="K38" s="309">
        <f>400.69*(KONSTM)</f>
        <v>400.69</v>
      </c>
      <c r="L38" s="309">
        <f>472.87*(KONSTM)</f>
        <v>472.87</v>
      </c>
      <c r="M38" s="309">
        <f>512.76*(KONSTM)</f>
        <v>512.76</v>
      </c>
      <c r="N38" s="314">
        <f>631.66*(KONSTM)</f>
        <v>631.66</v>
      </c>
      <c r="O38" s="149"/>
      <c r="P38" s="413"/>
      <c r="Q38" s="650"/>
      <c r="R38" s="650"/>
      <c r="S38" s="650"/>
      <c r="T38" s="650"/>
      <c r="U38" s="650"/>
      <c r="V38" s="650"/>
      <c r="W38" s="650"/>
      <c r="X38" s="650"/>
      <c r="Y38" s="650"/>
    </row>
    <row r="39" spans="1:25" ht="15" x14ac:dyDescent="0.25">
      <c r="B39" s="84">
        <v>2300</v>
      </c>
      <c r="C39" s="309">
        <f>261.58*(KONSTM)</f>
        <v>261.58</v>
      </c>
      <c r="D39" s="309">
        <f>298.79*(KONSTM)</f>
        <v>298.79000000000002</v>
      </c>
      <c r="E39" s="309">
        <f>353.8*(KONSTM)</f>
        <v>353.8</v>
      </c>
      <c r="F39" s="309">
        <f>384.49*(KONSTM)</f>
        <v>384.49</v>
      </c>
      <c r="G39" s="314">
        <f>585.02*(KONSTM)</f>
        <v>585.02</v>
      </c>
      <c r="H39" s="43"/>
      <c r="I39" s="84">
        <v>2300</v>
      </c>
      <c r="J39" s="309">
        <f>389.39*(KONSTM)</f>
        <v>389.39</v>
      </c>
      <c r="K39" s="309">
        <f>443.51*(KONSTM)</f>
        <v>443.51</v>
      </c>
      <c r="L39" s="309">
        <f>525.4*(KONSTM)</f>
        <v>525.4</v>
      </c>
      <c r="M39" s="309">
        <f>570.35*(KONSTM)</f>
        <v>570.35</v>
      </c>
      <c r="N39" s="314">
        <f>679.19*(KONSTM)</f>
        <v>679.19</v>
      </c>
      <c r="O39" s="149"/>
      <c r="P39" s="413"/>
      <c r="Q39" s="650"/>
      <c r="R39" s="40" t="s">
        <v>184</v>
      </c>
      <c r="S39" s="650"/>
      <c r="T39" s="650"/>
      <c r="U39" s="650"/>
      <c r="V39" s="650"/>
      <c r="W39" s="650"/>
      <c r="X39" s="650"/>
      <c r="Y39" s="650"/>
    </row>
    <row r="40" spans="1:25" ht="15" x14ac:dyDescent="0.25">
      <c r="B40" s="84">
        <v>2600</v>
      </c>
      <c r="C40" s="309">
        <f>285.97*(KONSTM)</f>
        <v>285.97000000000003</v>
      </c>
      <c r="D40" s="309">
        <f>328.69*(KONSTM)</f>
        <v>328.69</v>
      </c>
      <c r="E40" s="309">
        <f>390.1*(KONSTM)</f>
        <v>390.1</v>
      </c>
      <c r="F40" s="309">
        <f>424.73*(KONSTM)</f>
        <v>424.73</v>
      </c>
      <c r="G40" s="314">
        <f>645.9*(KONSTM)</f>
        <v>645.9</v>
      </c>
      <c r="H40" s="43"/>
      <c r="I40" s="84">
        <v>2600</v>
      </c>
      <c r="J40" s="309">
        <f>423.92*(KONSTM)</f>
        <v>423.92</v>
      </c>
      <c r="K40" s="309">
        <f>485.7*(KONSTM)</f>
        <v>485.7</v>
      </c>
      <c r="L40" s="309">
        <f>577.36*(KONSTM)</f>
        <v>577.36</v>
      </c>
      <c r="M40" s="309">
        <f>628.63*(KONSTM)</f>
        <v>628.63</v>
      </c>
      <c r="N40" s="314">
        <f>748.69*(KONSTM)</f>
        <v>748.69</v>
      </c>
      <c r="O40" s="149"/>
      <c r="P40" s="413"/>
      <c r="Q40" s="650"/>
      <c r="R40" s="650"/>
      <c r="S40" s="650"/>
      <c r="T40" s="650"/>
      <c r="U40" s="650"/>
      <c r="V40" s="650"/>
      <c r="W40" s="650"/>
      <c r="X40" s="650"/>
      <c r="Y40" s="650"/>
    </row>
    <row r="41" spans="1:25" ht="15.75" thickBot="1" x14ac:dyDescent="0.3">
      <c r="B41" s="86">
        <v>3000</v>
      </c>
      <c r="C41" s="311">
        <f>318.62*(KONSTM)</f>
        <v>318.62</v>
      </c>
      <c r="D41" s="311">
        <f>368.47*(KONSTM)</f>
        <v>368.47</v>
      </c>
      <c r="E41" s="311">
        <f>438.34*(KONSTM)</f>
        <v>438.34</v>
      </c>
      <c r="F41" s="311">
        <f>478.12*(KONSTM)</f>
        <v>478.12</v>
      </c>
      <c r="G41" s="315">
        <f>728.76*(KONSTM)</f>
        <v>728.76</v>
      </c>
      <c r="H41" s="43"/>
      <c r="I41" s="86">
        <v>3000</v>
      </c>
      <c r="J41" s="311">
        <f>459.61*(KONSTM)</f>
        <v>459.61</v>
      </c>
      <c r="K41" s="311">
        <f>531.44*(KONSTM)</f>
        <v>531.44000000000005</v>
      </c>
      <c r="L41" s="311">
        <f>634.33*(KONSTM)</f>
        <v>634.33000000000004</v>
      </c>
      <c r="M41" s="311">
        <f>692.36*(KONSTM)</f>
        <v>692.36</v>
      </c>
      <c r="N41" s="315">
        <f>825.68*(KONSTM)</f>
        <v>825.68</v>
      </c>
      <c r="O41" s="149"/>
      <c r="P41" s="413"/>
      <c r="Q41" s="650"/>
      <c r="R41" s="650"/>
      <c r="S41" s="650"/>
      <c r="T41" s="650"/>
      <c r="U41" s="650"/>
      <c r="V41" s="650"/>
      <c r="W41" s="650"/>
      <c r="X41" s="650"/>
      <c r="Y41" s="650"/>
    </row>
    <row r="42" spans="1:25" ht="13.5" thickTop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393" t="s">
        <v>185</v>
      </c>
      <c r="K42" s="273"/>
      <c r="L42" s="273"/>
      <c r="M42" s="27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650"/>
    </row>
    <row r="43" spans="1:25" x14ac:dyDescent="0.2">
      <c r="A43" s="650"/>
      <c r="B43" s="40"/>
      <c r="C43" s="43"/>
      <c r="D43" s="43"/>
      <c r="E43" s="43"/>
      <c r="F43" s="43"/>
      <c r="G43" s="43"/>
      <c r="H43" s="43"/>
      <c r="I43" s="394" t="s">
        <v>186</v>
      </c>
      <c r="J43" s="393" t="s">
        <v>190</v>
      </c>
      <c r="K43" s="273"/>
      <c r="L43" s="273"/>
      <c r="M43" s="27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650"/>
    </row>
    <row r="44" spans="1:25" x14ac:dyDescent="0.2">
      <c r="A44" s="43"/>
      <c r="B44" s="43"/>
      <c r="C44" s="43"/>
      <c r="D44" s="43"/>
      <c r="E44" s="43"/>
      <c r="F44" s="43"/>
      <c r="G44" s="43"/>
      <c r="H44" s="43"/>
      <c r="I44" s="395" t="s">
        <v>187</v>
      </c>
      <c r="J44" s="393" t="s">
        <v>191</v>
      </c>
      <c r="K44" s="273"/>
      <c r="L44" s="273"/>
      <c r="M44" s="27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650"/>
    </row>
    <row r="45" spans="1:25" x14ac:dyDescent="0.2">
      <c r="A45" s="43"/>
      <c r="B45" s="43"/>
      <c r="C45" s="43"/>
      <c r="D45" s="43"/>
      <c r="E45" s="43"/>
      <c r="F45" s="43"/>
      <c r="G45" s="43"/>
      <c r="H45" s="43"/>
      <c r="I45" s="394" t="s">
        <v>188</v>
      </c>
      <c r="J45" s="393" t="s">
        <v>190</v>
      </c>
      <c r="K45" s="273"/>
      <c r="L45" s="273"/>
      <c r="M45" s="27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650"/>
    </row>
    <row r="46" spans="1:25" x14ac:dyDescent="0.2">
      <c r="A46" s="43"/>
      <c r="B46" s="43"/>
      <c r="C46" s="43"/>
      <c r="D46" s="43"/>
      <c r="E46" s="43"/>
      <c r="F46" s="43"/>
      <c r="G46" s="43"/>
      <c r="H46" s="43"/>
      <c r="I46" s="394"/>
      <c r="J46" s="393"/>
      <c r="K46" s="273"/>
      <c r="L46" s="273"/>
      <c r="M46" s="27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650"/>
    </row>
  </sheetData>
  <mergeCells count="4">
    <mergeCell ref="H1:N1"/>
    <mergeCell ref="J4:N4"/>
    <mergeCell ref="J24:N24"/>
    <mergeCell ref="C24:G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20</vt:i4>
      </vt:variant>
    </vt:vector>
  </HeadingPairs>
  <TitlesOfParts>
    <vt:vector size="39" baseType="lpstr">
      <vt:lpstr>Compact</vt:lpstr>
      <vt:lpstr>CV</vt:lpstr>
      <vt:lpstr>Plan CV</vt:lpstr>
      <vt:lpstr>Ramo CV</vt:lpstr>
      <vt:lpstr>Plan Compact</vt:lpstr>
      <vt:lpstr>Ramo Compact</vt:lpstr>
      <vt:lpstr>Hygiene</vt:lpstr>
      <vt:lpstr>Plan Hygiene</vt:lpstr>
      <vt:lpstr>CVM</vt:lpstr>
      <vt:lpstr>Plan CVM</vt:lpstr>
      <vt:lpstr>KON</vt:lpstr>
      <vt:lpstr>TowelWarmers</vt:lpstr>
      <vt:lpstr>Deco&amp;Vert</vt:lpstr>
      <vt:lpstr>Vido</vt:lpstr>
      <vt:lpstr>Delta Design</vt:lpstr>
      <vt:lpstr>AIR+Accessories</vt:lpstr>
      <vt:lpstr>Narbonne</vt:lpstr>
      <vt:lpstr>Narbonne VT</vt:lpstr>
      <vt:lpstr>Narbonne Vert</vt:lpstr>
      <vt:lpstr>CONSTCV</vt:lpstr>
      <vt:lpstr>CONSTPC</vt:lpstr>
      <vt:lpstr>CONSTPCV</vt:lpstr>
      <vt:lpstr>CONSTPH</vt:lpstr>
      <vt:lpstr>CONSTRC</vt:lpstr>
      <vt:lpstr>CONSTRCV</vt:lpstr>
      <vt:lpstr>CONSTV</vt:lpstr>
      <vt:lpstr>DISNARVE</vt:lpstr>
      <vt:lpstr>KONST</vt:lpstr>
      <vt:lpstr>KONSTCV</vt:lpstr>
      <vt:lpstr>KONSTD</vt:lpstr>
      <vt:lpstr>KONSTHN</vt:lpstr>
      <vt:lpstr>KONSTK</vt:lpstr>
      <vt:lpstr>KONSTL</vt:lpstr>
      <vt:lpstr>KONSTM</vt:lpstr>
      <vt:lpstr>KONSTNA</vt:lpstr>
      <vt:lpstr>KONSTNAVT</vt:lpstr>
      <vt:lpstr>KONSTPM</vt:lpstr>
      <vt:lpstr>KONSTTW</vt:lpstr>
      <vt:lpstr>KONSTV</vt:lpstr>
    </vt:vector>
  </TitlesOfParts>
  <Company>Rettig Radiaator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Risto Muldme</dc:creator>
  <cp:lastModifiedBy>oma</cp:lastModifiedBy>
  <cp:lastPrinted>2016-12-10T08:45:34Z</cp:lastPrinted>
  <dcterms:created xsi:type="dcterms:W3CDTF">2006-09-13T12:56:02Z</dcterms:created>
  <dcterms:modified xsi:type="dcterms:W3CDTF">2016-12-10T08:45:41Z</dcterms:modified>
</cp:coreProperties>
</file>